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Q:\NTTG\02_Biennial Transmission Plans\2014-2015 Planning Cycle\Regional Transmission Plan\Draft Final Regional Transmission Plan\"/>
    </mc:Choice>
  </mc:AlternateContent>
  <workbookProtection workbookAlgorithmName="SHA-512" workbookHashValue="wuV5V7mbKsGVv+0fRc/q/LMPlFhBEfcWKDeULpc5sl3mfOp5U2/ygA5TgEr9YS7ez8S5m8LMYfQTnxXIn2W7KA==" workbookSaltValue="X3RHWIDp24D9Hin1ypH+5A==" workbookSpinCount="100000" lockStructure="1"/>
  <bookViews>
    <workbookView xWindow="0" yWindow="0" windowWidth="20490" windowHeight="6555"/>
  </bookViews>
  <sheets>
    <sheet name="Loss Summary Table" sheetId="5" r:id="rId1"/>
    <sheet name="Conversion from 2024$ to 2014$" sheetId="6" r:id="rId2"/>
    <sheet name="Planning" sheetId="2" r:id="rId3"/>
    <sheet name="Cost Allocation" sheetId="3" r:id="rId4"/>
    <sheet name="Tables for DFRTP" sheetId="4" r:id="rId5"/>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22" i="6" l="1"/>
  <c r="P23" i="6" s="1"/>
  <c r="P24" i="6" s="1"/>
  <c r="P25" i="6" s="1"/>
  <c r="P26" i="6" s="1"/>
  <c r="G22" i="6"/>
  <c r="G23" i="6" s="1"/>
  <c r="G24" i="6" s="1"/>
  <c r="G25" i="6" s="1"/>
  <c r="G26" i="6" s="1"/>
  <c r="J17" i="6"/>
  <c r="B16" i="6"/>
  <c r="B17" i="6" s="1"/>
  <c r="B18" i="6" s="1"/>
  <c r="B19" i="6" s="1"/>
  <c r="B20" i="6" s="1"/>
  <c r="B21" i="6" s="1"/>
  <c r="B22" i="6" s="1"/>
  <c r="B14" i="6"/>
  <c r="B15" i="6" s="1"/>
  <c r="B13" i="6"/>
  <c r="C10" i="6"/>
  <c r="F34" i="5"/>
  <c r="L34" i="5" s="1"/>
  <c r="R34" i="5" s="1"/>
  <c r="E34" i="5"/>
  <c r="K34" i="5" s="1"/>
  <c r="Q34" i="5" s="1"/>
  <c r="D34" i="5"/>
  <c r="J34" i="5" s="1"/>
  <c r="P34" i="5" s="1"/>
  <c r="C34" i="5"/>
  <c r="I34" i="5" s="1"/>
  <c r="O34" i="5" s="1"/>
  <c r="T34" i="5" s="1"/>
  <c r="B34" i="5"/>
  <c r="H34" i="5" s="1"/>
  <c r="N34" i="5" s="1"/>
  <c r="F32" i="5"/>
  <c r="L32" i="5" s="1"/>
  <c r="R32" i="5" s="1"/>
  <c r="E32" i="5"/>
  <c r="K32" i="5" s="1"/>
  <c r="Q32" i="5" s="1"/>
  <c r="D32" i="5"/>
  <c r="J32" i="5" s="1"/>
  <c r="P32" i="5" s="1"/>
  <c r="C32" i="5"/>
  <c r="I32" i="5" s="1"/>
  <c r="O32" i="5" s="1"/>
  <c r="B32" i="5"/>
  <c r="H32" i="5" s="1"/>
  <c r="N32" i="5" s="1"/>
  <c r="S32" i="5" s="1"/>
  <c r="M30" i="5"/>
  <c r="I30" i="5"/>
  <c r="O30" i="5" s="1"/>
  <c r="T30" i="5" s="1"/>
  <c r="G30" i="5"/>
  <c r="F30" i="5"/>
  <c r="L30" i="5" s="1"/>
  <c r="R30" i="5" s="1"/>
  <c r="E30" i="5"/>
  <c r="K30" i="5" s="1"/>
  <c r="Q30" i="5" s="1"/>
  <c r="D30" i="5"/>
  <c r="J30" i="5" s="1"/>
  <c r="P30" i="5" s="1"/>
  <c r="C30" i="5"/>
  <c r="B30" i="5"/>
  <c r="H30" i="5" s="1"/>
  <c r="N30" i="5" s="1"/>
  <c r="S30" i="5" s="1"/>
  <c r="R29" i="5"/>
  <c r="N29" i="5"/>
  <c r="L29" i="5"/>
  <c r="K29" i="5"/>
  <c r="Q29" i="5" s="1"/>
  <c r="J29" i="5"/>
  <c r="P29" i="5" s="1"/>
  <c r="I29" i="5"/>
  <c r="O29" i="5" s="1"/>
  <c r="T29" i="5" s="1"/>
  <c r="H29" i="5"/>
  <c r="G29" i="5"/>
  <c r="M29" i="5" s="1"/>
  <c r="R28" i="5"/>
  <c r="N28" i="5"/>
  <c r="L28" i="5"/>
  <c r="K28" i="5"/>
  <c r="Q28" i="5" s="1"/>
  <c r="J28" i="5"/>
  <c r="P28" i="5" s="1"/>
  <c r="I28" i="5"/>
  <c r="O28" i="5" s="1"/>
  <c r="T28" i="5" s="1"/>
  <c r="H28" i="5"/>
  <c r="G28" i="5"/>
  <c r="M28" i="5" s="1"/>
  <c r="F26" i="5"/>
  <c r="L26" i="5" s="1"/>
  <c r="R26" i="5" s="1"/>
  <c r="E26" i="5"/>
  <c r="K26" i="5" s="1"/>
  <c r="Q26" i="5" s="1"/>
  <c r="D26" i="5"/>
  <c r="J26" i="5" s="1"/>
  <c r="P26" i="5" s="1"/>
  <c r="C26" i="5"/>
  <c r="I26" i="5" s="1"/>
  <c r="O26" i="5" s="1"/>
  <c r="T26" i="5" s="1"/>
  <c r="B26" i="5"/>
  <c r="H26" i="5" s="1"/>
  <c r="N26" i="5" s="1"/>
  <c r="S26" i="5" s="1"/>
  <c r="L25" i="5"/>
  <c r="R25" i="5" s="1"/>
  <c r="K25" i="5"/>
  <c r="Q25" i="5" s="1"/>
  <c r="J25" i="5"/>
  <c r="P25" i="5" s="1"/>
  <c r="I25" i="5"/>
  <c r="O25" i="5" s="1"/>
  <c r="T25" i="5" s="1"/>
  <c r="H25" i="5"/>
  <c r="N25" i="5" s="1"/>
  <c r="S25" i="5" s="1"/>
  <c r="G25" i="5"/>
  <c r="M25" i="5" s="1"/>
  <c r="L24" i="5"/>
  <c r="R24" i="5" s="1"/>
  <c r="K24" i="5"/>
  <c r="Q24" i="5" s="1"/>
  <c r="J24" i="5"/>
  <c r="P24" i="5" s="1"/>
  <c r="I24" i="5"/>
  <c r="O24" i="5" s="1"/>
  <c r="T24" i="5" s="1"/>
  <c r="H24" i="5"/>
  <c r="N24" i="5" s="1"/>
  <c r="S24" i="5" s="1"/>
  <c r="G24" i="5"/>
  <c r="G26" i="5" s="1"/>
  <c r="M26" i="5" s="1"/>
  <c r="M22" i="5"/>
  <c r="I22" i="5"/>
  <c r="O22" i="5" s="1"/>
  <c r="T22" i="5" s="1"/>
  <c r="G22" i="5"/>
  <c r="F22" i="5"/>
  <c r="L22" i="5" s="1"/>
  <c r="R22" i="5" s="1"/>
  <c r="E22" i="5"/>
  <c r="K22" i="5" s="1"/>
  <c r="Q22" i="5" s="1"/>
  <c r="D22" i="5"/>
  <c r="J22" i="5" s="1"/>
  <c r="P22" i="5" s="1"/>
  <c r="C22" i="5"/>
  <c r="B22" i="5"/>
  <c r="H22" i="5" s="1"/>
  <c r="N22" i="5" s="1"/>
  <c r="R21" i="5"/>
  <c r="N21" i="5"/>
  <c r="L21" i="5"/>
  <c r="K21" i="5"/>
  <c r="Q21" i="5" s="1"/>
  <c r="J21" i="5"/>
  <c r="P21" i="5" s="1"/>
  <c r="I21" i="5"/>
  <c r="O21" i="5" s="1"/>
  <c r="H21" i="5"/>
  <c r="G21" i="5"/>
  <c r="M21" i="5" s="1"/>
  <c r="R20" i="5"/>
  <c r="N20" i="5"/>
  <c r="L20" i="5"/>
  <c r="K20" i="5"/>
  <c r="Q20" i="5" s="1"/>
  <c r="J20" i="5"/>
  <c r="P20" i="5" s="1"/>
  <c r="I20" i="5"/>
  <c r="O20" i="5" s="1"/>
  <c r="H20" i="5"/>
  <c r="G20" i="5"/>
  <c r="M20" i="5" s="1"/>
  <c r="F18" i="5"/>
  <c r="L18" i="5" s="1"/>
  <c r="R18" i="5" s="1"/>
  <c r="E18" i="5"/>
  <c r="K18" i="5" s="1"/>
  <c r="Q18" i="5" s="1"/>
  <c r="D18" i="5"/>
  <c r="J18" i="5" s="1"/>
  <c r="P18" i="5" s="1"/>
  <c r="C18" i="5"/>
  <c r="I18" i="5" s="1"/>
  <c r="O18" i="5" s="1"/>
  <c r="B18" i="5"/>
  <c r="H18" i="5" s="1"/>
  <c r="N18" i="5" s="1"/>
  <c r="S18" i="5" s="1"/>
  <c r="L17" i="5"/>
  <c r="R17" i="5" s="1"/>
  <c r="K17" i="5"/>
  <c r="Q17" i="5" s="1"/>
  <c r="J17" i="5"/>
  <c r="P17" i="5" s="1"/>
  <c r="I17" i="5"/>
  <c r="O17" i="5" s="1"/>
  <c r="T17" i="5" s="1"/>
  <c r="H17" i="5"/>
  <c r="N17" i="5" s="1"/>
  <c r="G17" i="5"/>
  <c r="M17" i="5" s="1"/>
  <c r="L16" i="5"/>
  <c r="R16" i="5" s="1"/>
  <c r="K16" i="5"/>
  <c r="Q16" i="5" s="1"/>
  <c r="J16" i="5"/>
  <c r="P16" i="5" s="1"/>
  <c r="I16" i="5"/>
  <c r="O16" i="5" s="1"/>
  <c r="T16" i="5" s="1"/>
  <c r="H16" i="5"/>
  <c r="N16" i="5" s="1"/>
  <c r="G16" i="5"/>
  <c r="G18" i="5" s="1"/>
  <c r="M18" i="5" s="1"/>
  <c r="I14" i="5"/>
  <c r="O14" i="5" s="1"/>
  <c r="T14" i="5" s="1"/>
  <c r="F14" i="5"/>
  <c r="L14" i="5" s="1"/>
  <c r="R14" i="5" s="1"/>
  <c r="E14" i="5"/>
  <c r="K14" i="5" s="1"/>
  <c r="Q14" i="5" s="1"/>
  <c r="D14" i="5"/>
  <c r="J14" i="5" s="1"/>
  <c r="P14" i="5" s="1"/>
  <c r="C14" i="5"/>
  <c r="B14" i="5"/>
  <c r="H14" i="5" s="1"/>
  <c r="N14" i="5" s="1"/>
  <c r="S14" i="5" s="1"/>
  <c r="R13" i="5"/>
  <c r="N13" i="5"/>
  <c r="L13" i="5"/>
  <c r="K13" i="5"/>
  <c r="Q13" i="5" s="1"/>
  <c r="J13" i="5"/>
  <c r="P13" i="5" s="1"/>
  <c r="I13" i="5"/>
  <c r="O13" i="5" s="1"/>
  <c r="T13" i="5" s="1"/>
  <c r="H13" i="5"/>
  <c r="G13" i="5"/>
  <c r="M13" i="5" s="1"/>
  <c r="L12" i="5"/>
  <c r="R12" i="5" s="1"/>
  <c r="K12" i="5"/>
  <c r="Q12" i="5" s="1"/>
  <c r="J12" i="5"/>
  <c r="P12" i="5" s="1"/>
  <c r="I12" i="5"/>
  <c r="O12" i="5" s="1"/>
  <c r="T12" i="5" s="1"/>
  <c r="H12" i="5"/>
  <c r="N12" i="5" s="1"/>
  <c r="G12" i="5"/>
  <c r="G14" i="5" s="1"/>
  <c r="M14" i="5" s="1"/>
  <c r="G10" i="5"/>
  <c r="M10" i="5" s="1"/>
  <c r="F10" i="5"/>
  <c r="L10" i="5" s="1"/>
  <c r="R10" i="5" s="1"/>
  <c r="E10" i="5"/>
  <c r="K10" i="5" s="1"/>
  <c r="Q10" i="5" s="1"/>
  <c r="D10" i="5"/>
  <c r="J10" i="5" s="1"/>
  <c r="P10" i="5" s="1"/>
  <c r="C10" i="5"/>
  <c r="I10" i="5" s="1"/>
  <c r="O10" i="5" s="1"/>
  <c r="B10" i="5"/>
  <c r="H10" i="5" s="1"/>
  <c r="N10" i="5" s="1"/>
  <c r="S10" i="5" s="1"/>
  <c r="L9" i="5"/>
  <c r="R9" i="5" s="1"/>
  <c r="K9" i="5"/>
  <c r="Q9" i="5" s="1"/>
  <c r="J9" i="5"/>
  <c r="P9" i="5" s="1"/>
  <c r="I9" i="5"/>
  <c r="O9" i="5" s="1"/>
  <c r="T9" i="5" s="1"/>
  <c r="H9" i="5"/>
  <c r="N9" i="5" s="1"/>
  <c r="G9" i="5"/>
  <c r="M9" i="5" s="1"/>
  <c r="L8" i="5"/>
  <c r="R8" i="5" s="1"/>
  <c r="K8" i="5"/>
  <c r="Q8" i="5" s="1"/>
  <c r="J8" i="5"/>
  <c r="P8" i="5" s="1"/>
  <c r="I8" i="5"/>
  <c r="O8" i="5" s="1"/>
  <c r="T8" i="5" s="1"/>
  <c r="H8" i="5"/>
  <c r="N8" i="5" s="1"/>
  <c r="G8" i="5"/>
  <c r="M8" i="5" s="1"/>
  <c r="F6" i="5"/>
  <c r="L6" i="5" s="1"/>
  <c r="R6" i="5" s="1"/>
  <c r="E6" i="5"/>
  <c r="K6" i="5" s="1"/>
  <c r="Q6" i="5" s="1"/>
  <c r="D6" i="5"/>
  <c r="J6" i="5" s="1"/>
  <c r="P6" i="5" s="1"/>
  <c r="C6" i="5"/>
  <c r="I6" i="5" s="1"/>
  <c r="O6" i="5" s="1"/>
  <c r="T6" i="5" s="1"/>
  <c r="B6" i="5"/>
  <c r="H6" i="5" s="1"/>
  <c r="N6" i="5" s="1"/>
  <c r="S6" i="5" s="1"/>
  <c r="L5" i="5"/>
  <c r="R5" i="5" s="1"/>
  <c r="K5" i="5"/>
  <c r="Q5" i="5" s="1"/>
  <c r="J5" i="5"/>
  <c r="P5" i="5" s="1"/>
  <c r="I5" i="5"/>
  <c r="O5" i="5" s="1"/>
  <c r="T5" i="5" s="1"/>
  <c r="H5" i="5"/>
  <c r="N5" i="5" s="1"/>
  <c r="S5" i="5" s="1"/>
  <c r="G5" i="5"/>
  <c r="G34" i="5" s="1"/>
  <c r="M34" i="5" s="1"/>
  <c r="L4" i="5"/>
  <c r="R4" i="5" s="1"/>
  <c r="K4" i="5"/>
  <c r="Q4" i="5" s="1"/>
  <c r="J4" i="5"/>
  <c r="P4" i="5" s="1"/>
  <c r="I4" i="5"/>
  <c r="O4" i="5" s="1"/>
  <c r="T4" i="5" s="1"/>
  <c r="H4" i="5"/>
  <c r="N4" i="5" s="1"/>
  <c r="G4" i="5"/>
  <c r="G32" i="5" s="1"/>
  <c r="M32" i="5" s="1"/>
  <c r="J26" i="6" l="1"/>
  <c r="J25" i="6"/>
  <c r="J24" i="6"/>
  <c r="J23" i="6"/>
  <c r="J22" i="6"/>
  <c r="J21" i="6"/>
  <c r="T17" i="6"/>
  <c r="R17" i="6"/>
  <c r="K17" i="6"/>
  <c r="I17" i="6"/>
  <c r="S17" i="6"/>
  <c r="Q17" i="6"/>
  <c r="H17" i="6"/>
  <c r="S4" i="5"/>
  <c r="S8" i="5"/>
  <c r="S9" i="5"/>
  <c r="T10" i="5"/>
  <c r="S12" i="5"/>
  <c r="S16" i="5"/>
  <c r="S17" i="5"/>
  <c r="T18" i="5"/>
  <c r="T20" i="5"/>
  <c r="T21" i="5"/>
  <c r="S22" i="5"/>
  <c r="T32" i="5"/>
  <c r="S34" i="5"/>
  <c r="M4" i="5"/>
  <c r="M12" i="5"/>
  <c r="S13" i="5"/>
  <c r="M16" i="5"/>
  <c r="S20" i="5"/>
  <c r="S21" i="5"/>
  <c r="M24" i="5"/>
  <c r="S28" i="5"/>
  <c r="S29" i="5"/>
  <c r="M5" i="5"/>
  <c r="G6" i="5"/>
  <c r="M6" i="5" s="1"/>
  <c r="C147" i="3"/>
  <c r="C146" i="3"/>
  <c r="C145" i="3"/>
  <c r="D34" i="3"/>
  <c r="D33" i="3"/>
  <c r="D32" i="3"/>
  <c r="H26" i="6" l="1"/>
  <c r="H25" i="6"/>
  <c r="H24" i="6"/>
  <c r="H23" i="6"/>
  <c r="H22" i="6"/>
  <c r="H21" i="6"/>
  <c r="S26" i="6"/>
  <c r="J31" i="6" s="1"/>
  <c r="S25" i="6"/>
  <c r="J30" i="6" s="1"/>
  <c r="S24" i="6"/>
  <c r="J29" i="6" s="1"/>
  <c r="S23" i="6"/>
  <c r="J28" i="6" s="1"/>
  <c r="S22" i="6"/>
  <c r="S21" i="6"/>
  <c r="K26" i="6"/>
  <c r="K25" i="6"/>
  <c r="K24" i="6"/>
  <c r="K23" i="6"/>
  <c r="K22" i="6"/>
  <c r="K21" i="6"/>
  <c r="T21" i="6"/>
  <c r="T26" i="6"/>
  <c r="T25" i="6"/>
  <c r="K30" i="6" s="1"/>
  <c r="T24" i="6"/>
  <c r="T23" i="6"/>
  <c r="K28" i="6" s="1"/>
  <c r="T22" i="6"/>
  <c r="Q26" i="6"/>
  <c r="H31" i="6" s="1"/>
  <c r="Q25" i="6"/>
  <c r="H30" i="6" s="1"/>
  <c r="Q24" i="6"/>
  <c r="H29" i="6" s="1"/>
  <c r="Q23" i="6"/>
  <c r="H28" i="6" s="1"/>
  <c r="Q22" i="6"/>
  <c r="Q21" i="6"/>
  <c r="I26" i="6"/>
  <c r="I25" i="6"/>
  <c r="I24" i="6"/>
  <c r="I23" i="6"/>
  <c r="I22" i="6"/>
  <c r="I21" i="6"/>
  <c r="R21" i="6"/>
  <c r="R26" i="6"/>
  <c r="R25" i="6"/>
  <c r="I30" i="6" s="1"/>
  <c r="R24" i="6"/>
  <c r="R23" i="6"/>
  <c r="I28" i="6" s="1"/>
  <c r="R22" i="6"/>
  <c r="C16" i="3"/>
  <c r="C97" i="3" s="1"/>
  <c r="M20" i="4"/>
  <c r="L20" i="4"/>
  <c r="L18" i="4"/>
  <c r="AE10" i="4"/>
  <c r="F10" i="2"/>
  <c r="D16" i="3" s="1"/>
  <c r="B19" i="2"/>
  <c r="B18" i="2"/>
  <c r="J14" i="4" s="1"/>
  <c r="BT44" i="4"/>
  <c r="BT45" i="4"/>
  <c r="BT46" i="4"/>
  <c r="BT47" i="4"/>
  <c r="BT48" i="4"/>
  <c r="BT49" i="4"/>
  <c r="BT50" i="4"/>
  <c r="BT43" i="4"/>
  <c r="BT41" i="4"/>
  <c r="CA58" i="4"/>
  <c r="CB58" i="4"/>
  <c r="CB59" i="4"/>
  <c r="CB60" i="4"/>
  <c r="CB61" i="4"/>
  <c r="CB62" i="4"/>
  <c r="CB63" i="4"/>
  <c r="CB64" i="4"/>
  <c r="CB65" i="4"/>
  <c r="CB66" i="4"/>
  <c r="CB67" i="4"/>
  <c r="CB68" i="4"/>
  <c r="CE57" i="4"/>
  <c r="F9" i="2"/>
  <c r="D9" i="2"/>
  <c r="B46" i="2"/>
  <c r="B49" i="2" s="1"/>
  <c r="BS40" i="4"/>
  <c r="BT42" i="4"/>
  <c r="BT40" i="4"/>
  <c r="I29" i="6" l="1"/>
  <c r="I31" i="6"/>
  <c r="K29" i="6"/>
  <c r="K31" i="6"/>
  <c r="BS47" i="4"/>
  <c r="BS44" i="4"/>
  <c r="BK5" i="4" l="1"/>
  <c r="BP5" i="4"/>
  <c r="BK6" i="4"/>
  <c r="D53" i="2"/>
  <c r="M34" i="4" l="1"/>
  <c r="N34" i="4"/>
  <c r="O34" i="4"/>
  <c r="AX5" i="4" l="1"/>
  <c r="AT9" i="4"/>
  <c r="BR9" i="4"/>
  <c r="BQ12" i="4"/>
  <c r="BQ11" i="4"/>
  <c r="W120" i="3"/>
  <c r="W119" i="3"/>
  <c r="AK31" i="4"/>
  <c r="AK32" i="4"/>
  <c r="AK33" i="4"/>
  <c r="AJ32" i="4"/>
  <c r="AJ33" i="4"/>
  <c r="AJ34" i="4"/>
  <c r="AJ31" i="4"/>
  <c r="B64" i="2" l="1"/>
  <c r="C28" i="2" l="1"/>
  <c r="D25" i="2" s="1"/>
  <c r="AL31" i="4" s="1"/>
  <c r="D27" i="2" l="1"/>
  <c r="AL33" i="4" s="1"/>
  <c r="D26" i="2"/>
  <c r="AL32" i="4" s="1"/>
  <c r="AK34" i="4"/>
  <c r="D28" i="2" l="1"/>
  <c r="AL34" i="4" s="1"/>
  <c r="E55" i="2"/>
  <c r="CD58" i="4" s="1"/>
  <c r="D55" i="2"/>
  <c r="CC58" i="4" s="1"/>
  <c r="E54" i="2"/>
  <c r="CD57" i="4" s="1"/>
  <c r="D54" i="2"/>
  <c r="CC57" i="4" s="1"/>
  <c r="D40" i="2"/>
  <c r="BU39" i="4" s="1"/>
  <c r="D60" i="2" l="1"/>
  <c r="CC63" i="4" s="1"/>
  <c r="D63" i="2"/>
  <c r="CC66" i="4" s="1"/>
  <c r="E63" i="2"/>
  <c r="CD66" i="4" s="1"/>
  <c r="E60" i="2"/>
  <c r="CD63" i="4" s="1"/>
  <c r="C12" i="4"/>
  <c r="B13" i="4"/>
  <c r="AK30" i="4"/>
  <c r="AL30" i="4"/>
  <c r="AM30" i="4"/>
  <c r="AJ30" i="4"/>
  <c r="AS5" i="4"/>
  <c r="I63" i="2" l="1"/>
  <c r="I60" i="2"/>
  <c r="BC4" i="4"/>
  <c r="D61" i="2" l="1"/>
  <c r="CE63" i="4"/>
  <c r="E64" i="2"/>
  <c r="CD67" i="4" s="1"/>
  <c r="CE66" i="4"/>
  <c r="E61" i="2"/>
  <c r="CD64" i="4" s="1"/>
  <c r="D64" i="2"/>
  <c r="D41" i="2"/>
  <c r="AS11" i="4"/>
  <c r="BU40" i="4" l="1"/>
  <c r="CC67" i="4"/>
  <c r="CE67" i="4" s="1"/>
  <c r="I64" i="2"/>
  <c r="I61" i="2"/>
  <c r="CC64" i="4"/>
  <c r="CE64" i="4" s="1"/>
  <c r="E75" i="2"/>
  <c r="F75" i="2"/>
  <c r="G75" i="2"/>
  <c r="AS6" i="4" l="1"/>
  <c r="AS12" i="4"/>
  <c r="D152" i="2" l="1"/>
  <c r="C139" i="2" l="1"/>
  <c r="H41" i="2" l="1"/>
  <c r="I55" i="2"/>
  <c r="CE58" i="4" s="1"/>
  <c r="B58" i="2"/>
  <c r="B59" i="2"/>
  <c r="B60" i="2"/>
  <c r="B63" i="2"/>
  <c r="CA61" i="4" l="1"/>
  <c r="BS43" i="4"/>
  <c r="CA66" i="4"/>
  <c r="BS50" i="4"/>
  <c r="BS46" i="4"/>
  <c r="CA62" i="4"/>
  <c r="BS49" i="4"/>
  <c r="CA63" i="4"/>
  <c r="H44" i="2"/>
  <c r="D44" i="2" s="1"/>
  <c r="BU43" i="4" s="1"/>
  <c r="H47" i="2"/>
  <c r="E47" i="2" s="1"/>
  <c r="D47" i="2"/>
  <c r="BU46" i="4" s="1"/>
  <c r="G42" i="2"/>
  <c r="G44" i="2"/>
  <c r="F56" i="2"/>
  <c r="D56" i="2"/>
  <c r="CC59" i="4" s="1"/>
  <c r="G56" i="2"/>
  <c r="D42" i="2"/>
  <c r="H56" i="2"/>
  <c r="E56" i="2"/>
  <c r="CD59" i="4" s="1"/>
  <c r="F42" i="2"/>
  <c r="E42" i="2"/>
  <c r="I130" i="3"/>
  <c r="I132" i="3"/>
  <c r="I129" i="3"/>
  <c r="I119" i="3"/>
  <c r="I120" i="3"/>
  <c r="I124" i="3"/>
  <c r="I106" i="3"/>
  <c r="I72" i="3"/>
  <c r="G47" i="2" l="1"/>
  <c r="F47" i="2"/>
  <c r="BU41" i="4"/>
  <c r="D45" i="2"/>
  <c r="F44" i="2"/>
  <c r="I56" i="2"/>
  <c r="CE59" i="4" s="1"/>
  <c r="H42" i="2"/>
  <c r="E44" i="2"/>
  <c r="B111" i="2"/>
  <c r="B112" i="2"/>
  <c r="C93" i="2"/>
  <c r="J24" i="3"/>
  <c r="D24" i="3"/>
  <c r="L34" i="4" s="1"/>
  <c r="C23" i="3"/>
  <c r="D36" i="3"/>
  <c r="E36" i="3"/>
  <c r="F36" i="3"/>
  <c r="G36" i="3"/>
  <c r="J36" i="3"/>
  <c r="D38" i="3"/>
  <c r="D48" i="2" l="1"/>
  <c r="H45" i="2"/>
  <c r="BU44" i="4"/>
  <c r="E141" i="3"/>
  <c r="BM4" i="4" s="1"/>
  <c r="D141" i="3"/>
  <c r="C85" i="2"/>
  <c r="B87" i="2"/>
  <c r="BB7" i="4" s="1"/>
  <c r="B88" i="2"/>
  <c r="BB8" i="4" s="1"/>
  <c r="B89" i="2"/>
  <c r="BB9" i="4" s="1"/>
  <c r="B90" i="2"/>
  <c r="BB10" i="4" s="1"/>
  <c r="B86" i="2"/>
  <c r="BB6" i="4" s="1"/>
  <c r="M85" i="2"/>
  <c r="BF5" i="4" s="1"/>
  <c r="L75" i="2"/>
  <c r="BU47" i="4" l="1"/>
  <c r="H48" i="2"/>
  <c r="AT4" i="4"/>
  <c r="BL4" i="4"/>
  <c r="AU4" i="4"/>
  <c r="H150" i="2"/>
  <c r="C150" i="2"/>
  <c r="B17" i="4" s="1"/>
  <c r="H149" i="2"/>
  <c r="C149" i="2"/>
  <c r="B16" i="4" s="1"/>
  <c r="H147" i="2"/>
  <c r="C147" i="2"/>
  <c r="B14" i="4" s="1"/>
  <c r="H148" i="2"/>
  <c r="C148" i="2"/>
  <c r="B15" i="4" s="1"/>
  <c r="H151" i="2"/>
  <c r="C151" i="2"/>
  <c r="B18" i="4" s="1"/>
  <c r="T116" i="3"/>
  <c r="T100" i="3"/>
  <c r="L85" i="2"/>
  <c r="S25" i="3" s="1"/>
  <c r="L93" i="2"/>
  <c r="J25" i="3"/>
  <c r="I146" i="2"/>
  <c r="I159" i="2" s="1"/>
  <c r="C150" i="3"/>
  <c r="AS10" i="4" l="1"/>
  <c r="BQ10" i="4"/>
  <c r="S116" i="3"/>
  <c r="S128" i="3" s="1"/>
  <c r="S100" i="3"/>
  <c r="J37" i="3"/>
  <c r="J100" i="3"/>
  <c r="S37" i="3"/>
  <c r="J116" i="3"/>
  <c r="J128" i="3" s="1"/>
  <c r="J66" i="3"/>
  <c r="I75" i="2"/>
  <c r="J75" i="2"/>
  <c r="K75" i="2"/>
  <c r="H75" i="2"/>
  <c r="D75" i="2"/>
  <c r="G85" i="2" l="1"/>
  <c r="N25" i="3" s="1"/>
  <c r="N100" i="3" s="1"/>
  <c r="G93" i="2"/>
  <c r="K85" i="2"/>
  <c r="R25" i="3" s="1"/>
  <c r="R116" i="3" s="1"/>
  <c r="R128" i="3" s="1"/>
  <c r="K93" i="2"/>
  <c r="F85" i="2"/>
  <c r="M25" i="3" s="1"/>
  <c r="M116" i="3" s="1"/>
  <c r="M128" i="3" s="1"/>
  <c r="F93" i="2"/>
  <c r="J85" i="2"/>
  <c r="Q25" i="3" s="1"/>
  <c r="Q100" i="3" s="1"/>
  <c r="J93" i="2"/>
  <c r="I85" i="2"/>
  <c r="I93" i="2"/>
  <c r="E85" i="2"/>
  <c r="L25" i="3" s="1"/>
  <c r="L37" i="3" s="1"/>
  <c r="E93" i="2"/>
  <c r="D85" i="2"/>
  <c r="BC5" i="4" s="1"/>
  <c r="D93" i="2"/>
  <c r="H85" i="2"/>
  <c r="BD5" i="4" s="1"/>
  <c r="H93" i="2"/>
  <c r="J78" i="3"/>
  <c r="P25" i="3" l="1"/>
  <c r="P116" i="3" s="1"/>
  <c r="BE5" i="4"/>
  <c r="O25" i="3"/>
  <c r="O37" i="3" s="1"/>
  <c r="N116" i="3"/>
  <c r="N128" i="3" s="1"/>
  <c r="Q116" i="3"/>
  <c r="Q128" i="3" s="1"/>
  <c r="Q37" i="3"/>
  <c r="N37" i="3"/>
  <c r="L116" i="3"/>
  <c r="L128" i="3" s="1"/>
  <c r="L100" i="3"/>
  <c r="R37" i="3"/>
  <c r="R100" i="3"/>
  <c r="M37" i="3"/>
  <c r="M100" i="3"/>
  <c r="P100" i="3" l="1"/>
  <c r="P37" i="3"/>
  <c r="P128" i="3"/>
  <c r="AA117" i="3"/>
  <c r="O116" i="3"/>
  <c r="O100" i="3"/>
  <c r="L146" i="2"/>
  <c r="L159" i="2" s="1"/>
  <c r="M66" i="3"/>
  <c r="Q146" i="2"/>
  <c r="Q159" i="2" s="1"/>
  <c r="R66" i="3"/>
  <c r="K146" i="2"/>
  <c r="K159" i="2" s="1"/>
  <c r="L66" i="3"/>
  <c r="Q66" i="3"/>
  <c r="P146" i="2"/>
  <c r="P159" i="2" s="1"/>
  <c r="O146" i="2"/>
  <c r="O159" i="2" s="1"/>
  <c r="P66" i="3"/>
  <c r="M146" i="2"/>
  <c r="M159" i="2" s="1"/>
  <c r="N66" i="3"/>
  <c r="J146" i="2"/>
  <c r="J159" i="2" s="1"/>
  <c r="K25" i="3"/>
  <c r="N146" i="2"/>
  <c r="N159" i="2" s="1"/>
  <c r="O66" i="3"/>
  <c r="R146" i="2"/>
  <c r="R159" i="2" s="1"/>
  <c r="S66" i="3"/>
  <c r="O128" i="3" l="1"/>
  <c r="Z117" i="3"/>
  <c r="K37" i="3"/>
  <c r="K100" i="3"/>
  <c r="O78" i="3"/>
  <c r="F142" i="3"/>
  <c r="N78" i="3"/>
  <c r="R78" i="3"/>
  <c r="Q78" i="3"/>
  <c r="P78" i="3"/>
  <c r="G142" i="3"/>
  <c r="M78" i="3"/>
  <c r="S78" i="3"/>
  <c r="L78" i="3"/>
  <c r="K66" i="3"/>
  <c r="K116" i="3"/>
  <c r="BO5" i="4" l="1"/>
  <c r="AW5" i="4"/>
  <c r="BN5" i="4"/>
  <c r="AV5" i="4"/>
  <c r="K128" i="3"/>
  <c r="Y117" i="3"/>
  <c r="K78" i="3"/>
  <c r="E142" i="3"/>
  <c r="D96" i="3"/>
  <c r="BM5" i="4" l="1"/>
  <c r="AU5" i="4"/>
  <c r="D15" i="3"/>
  <c r="C18" i="2" l="1"/>
  <c r="K14" i="4" s="1"/>
  <c r="AD8" i="4" l="1"/>
  <c r="T9" i="4"/>
  <c r="T8" i="4"/>
  <c r="AA5" i="4"/>
  <c r="U7" i="4"/>
  <c r="U8" i="4"/>
  <c r="U10" i="4"/>
  <c r="V4" i="4"/>
  <c r="W4" i="4"/>
  <c r="X4" i="4"/>
  <c r="Y4" i="4"/>
  <c r="Z4" i="4"/>
  <c r="E112" i="2" l="1"/>
  <c r="F112" i="2"/>
  <c r="G112" i="2"/>
  <c r="E113" i="2"/>
  <c r="F113" i="2"/>
  <c r="G113" i="2"/>
  <c r="E114" i="2"/>
  <c r="F114" i="2"/>
  <c r="G114" i="2"/>
  <c r="E115" i="2"/>
  <c r="F115" i="2"/>
  <c r="G115" i="2"/>
  <c r="D113" i="2"/>
  <c r="D114" i="2"/>
  <c r="D115" i="2"/>
  <c r="D112" i="2"/>
  <c r="E111" i="2"/>
  <c r="F111" i="2"/>
  <c r="G111" i="2"/>
  <c r="D111" i="2"/>
  <c r="C117" i="3" l="1"/>
  <c r="C122" i="3" s="1"/>
  <c r="C114" i="3"/>
  <c r="F48" i="3"/>
  <c r="F47" i="3"/>
  <c r="F46" i="3"/>
  <c r="F45" i="3"/>
  <c r="F44" i="3"/>
  <c r="F43" i="3"/>
  <c r="C43" i="3"/>
  <c r="G38" i="3"/>
  <c r="F38" i="3"/>
  <c r="E38" i="3"/>
  <c r="C30" i="3"/>
  <c r="K40" i="4" s="1"/>
  <c r="C29" i="3"/>
  <c r="K39" i="4" s="1"/>
  <c r="C28" i="3"/>
  <c r="K38" i="4" s="1"/>
  <c r="C27" i="3"/>
  <c r="K37" i="4" s="1"/>
  <c r="C26" i="3"/>
  <c r="K36" i="4" s="1"/>
  <c r="G136" i="2"/>
  <c r="G151" i="2" s="1"/>
  <c r="F136" i="2"/>
  <c r="F151" i="2" s="1"/>
  <c r="E136" i="2"/>
  <c r="E151" i="2" s="1"/>
  <c r="D136" i="2"/>
  <c r="D151" i="2" s="1"/>
  <c r="C18" i="4" s="1"/>
  <c r="G135" i="2"/>
  <c r="F135" i="2"/>
  <c r="E135" i="2"/>
  <c r="D135" i="2"/>
  <c r="D150" i="2" s="1"/>
  <c r="C17" i="4" s="1"/>
  <c r="G134" i="2"/>
  <c r="F134" i="2"/>
  <c r="E134" i="2"/>
  <c r="D134" i="2"/>
  <c r="D149" i="2" s="1"/>
  <c r="C16" i="4" s="1"/>
  <c r="G133" i="2"/>
  <c r="F133" i="2"/>
  <c r="E133" i="2"/>
  <c r="E148" i="2" s="1"/>
  <c r="D133" i="2"/>
  <c r="D148" i="2" s="1"/>
  <c r="C15" i="4" s="1"/>
  <c r="G132" i="2"/>
  <c r="F132" i="2"/>
  <c r="E132" i="2"/>
  <c r="E147" i="2" s="1"/>
  <c r="D14" i="4" s="1"/>
  <c r="D132" i="2"/>
  <c r="D147" i="2" s="1"/>
  <c r="C14" i="4" s="1"/>
  <c r="B115" i="2"/>
  <c r="B114" i="2"/>
  <c r="B113" i="2"/>
  <c r="G123" i="2"/>
  <c r="G146" i="2" s="1"/>
  <c r="F13" i="4" s="1"/>
  <c r="F110" i="2"/>
  <c r="F117" i="2" s="1"/>
  <c r="E110" i="2"/>
  <c r="E117" i="2" s="1"/>
  <c r="D123" i="2"/>
  <c r="D146" i="2" s="1"/>
  <c r="C13" i="4" s="1"/>
  <c r="S146" i="2"/>
  <c r="E27" i="3" l="1"/>
  <c r="M37" i="4" s="1"/>
  <c r="D15" i="4"/>
  <c r="G30" i="3"/>
  <c r="F18" i="4"/>
  <c r="E30" i="3"/>
  <c r="M40" i="4" s="1"/>
  <c r="D18" i="4"/>
  <c r="F30" i="3"/>
  <c r="E18" i="4"/>
  <c r="F150" i="2"/>
  <c r="F149" i="2"/>
  <c r="F148" i="2"/>
  <c r="F147" i="2"/>
  <c r="G150" i="2"/>
  <c r="G149" i="2"/>
  <c r="G148" i="2"/>
  <c r="G147" i="2"/>
  <c r="E26" i="3"/>
  <c r="E150" i="2"/>
  <c r="E149" i="2"/>
  <c r="U6" i="4"/>
  <c r="I117" i="3"/>
  <c r="I29" i="3"/>
  <c r="I28" i="3"/>
  <c r="I26" i="3"/>
  <c r="I30" i="3"/>
  <c r="I27" i="3"/>
  <c r="D110" i="2"/>
  <c r="D117" i="2" s="1"/>
  <c r="D53" i="3"/>
  <c r="T66" i="3"/>
  <c r="I122" i="3"/>
  <c r="D131" i="2"/>
  <c r="D138" i="2" s="1"/>
  <c r="G131" i="2"/>
  <c r="G138" i="2" s="1"/>
  <c r="G110" i="2"/>
  <c r="G117" i="2" s="1"/>
  <c r="E123" i="2"/>
  <c r="E146" i="2" s="1"/>
  <c r="D13" i="4" s="1"/>
  <c r="F123" i="2"/>
  <c r="F146" i="2" s="1"/>
  <c r="E13" i="4" s="1"/>
  <c r="C44" i="3"/>
  <c r="C48" i="3"/>
  <c r="C68" i="3"/>
  <c r="C56" i="3"/>
  <c r="C70" i="3"/>
  <c r="C45" i="3"/>
  <c r="C47" i="3"/>
  <c r="C57" i="3"/>
  <c r="C54" i="3"/>
  <c r="C58" i="3"/>
  <c r="C67" i="3"/>
  <c r="C69" i="3"/>
  <c r="C71" i="3"/>
  <c r="C46" i="3"/>
  <c r="C55" i="3"/>
  <c r="D113" i="3"/>
  <c r="D28" i="3"/>
  <c r="L38" i="4" s="1"/>
  <c r="D29" i="3"/>
  <c r="L39" i="4" s="1"/>
  <c r="D26" i="3"/>
  <c r="L36" i="4" s="1"/>
  <c r="D30" i="3"/>
  <c r="L40" i="4" s="1"/>
  <c r="E45" i="3" l="1"/>
  <c r="E48" i="3"/>
  <c r="G48" i="3"/>
  <c r="N40" i="4"/>
  <c r="H48" i="3"/>
  <c r="O40" i="4"/>
  <c r="E67" i="3"/>
  <c r="M36" i="4"/>
  <c r="G26" i="3"/>
  <c r="F14" i="4"/>
  <c r="F26" i="3"/>
  <c r="E14" i="4"/>
  <c r="E29" i="3"/>
  <c r="M39" i="4" s="1"/>
  <c r="D17" i="4"/>
  <c r="G28" i="3"/>
  <c r="F16" i="4"/>
  <c r="F28" i="3"/>
  <c r="E16" i="4"/>
  <c r="E28" i="3"/>
  <c r="M38" i="4" s="1"/>
  <c r="D16" i="4"/>
  <c r="G29" i="3"/>
  <c r="F17" i="4"/>
  <c r="F29" i="3"/>
  <c r="E17" i="4"/>
  <c r="G27" i="3"/>
  <c r="F15" i="4"/>
  <c r="F27" i="3"/>
  <c r="E15" i="4"/>
  <c r="D67" i="3"/>
  <c r="E44" i="3"/>
  <c r="E46" i="3"/>
  <c r="C83" i="3"/>
  <c r="I71" i="3"/>
  <c r="C82" i="3"/>
  <c r="I70" i="3"/>
  <c r="C81" i="3"/>
  <c r="I69" i="3"/>
  <c r="C79" i="3"/>
  <c r="I67" i="3"/>
  <c r="C80" i="3"/>
  <c r="I68" i="3"/>
  <c r="U9" i="4"/>
  <c r="E131" i="2"/>
  <c r="E138" i="2" s="1"/>
  <c r="F131" i="2"/>
  <c r="F138" i="2" s="1"/>
  <c r="D159" i="2"/>
  <c r="D37" i="3" s="1"/>
  <c r="D25" i="3"/>
  <c r="L35" i="4" s="1"/>
  <c r="G25" i="3"/>
  <c r="O35" i="4" s="1"/>
  <c r="G159" i="2"/>
  <c r="G37" i="3" s="1"/>
  <c r="D46" i="3"/>
  <c r="D27" i="3"/>
  <c r="L37" i="4" s="1"/>
  <c r="D44" i="3"/>
  <c r="D48" i="3"/>
  <c r="D47" i="3"/>
  <c r="I48" i="3" l="1"/>
  <c r="H45" i="3"/>
  <c r="O37" i="4"/>
  <c r="H47" i="3"/>
  <c r="O39" i="4"/>
  <c r="G46" i="3"/>
  <c r="N38" i="4"/>
  <c r="G67" i="3"/>
  <c r="O36" i="4"/>
  <c r="E47" i="3"/>
  <c r="I47" i="3" s="1"/>
  <c r="G45" i="3"/>
  <c r="N37" i="4"/>
  <c r="G47" i="3"/>
  <c r="N39" i="4"/>
  <c r="H46" i="3"/>
  <c r="O38" i="4"/>
  <c r="G44" i="3"/>
  <c r="N36" i="4"/>
  <c r="H44" i="3"/>
  <c r="F67" i="3"/>
  <c r="C103" i="3"/>
  <c r="I103" i="3" s="1"/>
  <c r="I46" i="3"/>
  <c r="I44" i="3"/>
  <c r="C104" i="3"/>
  <c r="I104" i="3" s="1"/>
  <c r="C105" i="3"/>
  <c r="I105" i="3" s="1"/>
  <c r="C102" i="3"/>
  <c r="I102" i="3" s="1"/>
  <c r="C101" i="3"/>
  <c r="I101" i="3" s="1"/>
  <c r="D66" i="3"/>
  <c r="D78" i="3" s="1"/>
  <c r="D43" i="3"/>
  <c r="F25" i="3"/>
  <c r="N35" i="4" s="1"/>
  <c r="F159" i="2"/>
  <c r="F37" i="3" s="1"/>
  <c r="G66" i="3"/>
  <c r="G78" i="3" s="1"/>
  <c r="H43" i="3"/>
  <c r="E159" i="2"/>
  <c r="E37" i="3" s="1"/>
  <c r="E25" i="3"/>
  <c r="M35" i="4" s="1"/>
  <c r="D45" i="3"/>
  <c r="I45" i="3" s="1"/>
  <c r="F66" i="3" l="1"/>
  <c r="F78" i="3" s="1"/>
  <c r="G43" i="3"/>
  <c r="E66" i="3"/>
  <c r="E78" i="3" s="1"/>
  <c r="E43" i="3"/>
  <c r="G100" i="3"/>
  <c r="G116" i="3" s="1"/>
  <c r="X117" i="3" s="1"/>
  <c r="D100" i="3"/>
  <c r="D116" i="3" s="1"/>
  <c r="G128" i="3" l="1"/>
  <c r="Y5" i="4"/>
  <c r="E100" i="3"/>
  <c r="E116" i="3" s="1"/>
  <c r="V5" i="4"/>
  <c r="D128" i="3"/>
  <c r="Z5" i="4"/>
  <c r="F100" i="3"/>
  <c r="F116" i="3" s="1"/>
  <c r="D142" i="3" l="1"/>
  <c r="E128" i="3"/>
  <c r="W5" i="4"/>
  <c r="X5" i="4"/>
  <c r="F128" i="3"/>
  <c r="AT5" i="4" l="1"/>
  <c r="BL5" i="4"/>
  <c r="C19" i="2"/>
  <c r="M18" i="4" s="1"/>
  <c r="AE11" i="4" l="1"/>
  <c r="D19" i="2"/>
  <c r="E27" i="2" l="1"/>
  <c r="M17" i="4" s="1"/>
  <c r="E26" i="2"/>
  <c r="E25" i="2"/>
  <c r="C76" i="2"/>
  <c r="C86" i="2" s="1"/>
  <c r="D150" i="3"/>
  <c r="BR10" i="4" s="1"/>
  <c r="AM31" i="4" l="1"/>
  <c r="M15" i="4"/>
  <c r="AM32" i="4"/>
  <c r="M16" i="4"/>
  <c r="AM33" i="4"/>
  <c r="I57" i="2"/>
  <c r="CE60" i="4" s="1"/>
  <c r="E28" i="2"/>
  <c r="AM34" i="4" s="1"/>
  <c r="AT10" i="4"/>
  <c r="D97" i="3"/>
  <c r="D114" i="3" s="1"/>
  <c r="H43" i="2"/>
  <c r="C14" i="3"/>
  <c r="C77" i="2"/>
  <c r="C107" i="3"/>
  <c r="C108" i="3" s="1"/>
  <c r="L19" i="4" l="1"/>
  <c r="H50" i="2"/>
  <c r="H46" i="2"/>
  <c r="H51" i="2"/>
  <c r="H49" i="2"/>
  <c r="I58" i="2"/>
  <c r="D57" i="2"/>
  <c r="CC60" i="4" s="1"/>
  <c r="F43" i="2"/>
  <c r="H57" i="2"/>
  <c r="H58" i="2" s="1"/>
  <c r="H59" i="2" s="1"/>
  <c r="H62" i="2" s="1"/>
  <c r="H65" i="2" s="1"/>
  <c r="G57" i="2"/>
  <c r="G58" i="2" s="1"/>
  <c r="G59" i="2" s="1"/>
  <c r="G62" i="2" s="1"/>
  <c r="G65" i="2" s="1"/>
  <c r="F57" i="2"/>
  <c r="F58" i="2" s="1"/>
  <c r="F59" i="2" s="1"/>
  <c r="F62" i="2" s="1"/>
  <c r="F65" i="2" s="1"/>
  <c r="G43" i="2"/>
  <c r="E57" i="2"/>
  <c r="CD60" i="4" s="1"/>
  <c r="D43" i="2"/>
  <c r="BU42" i="4" s="1"/>
  <c r="E43" i="2"/>
  <c r="J26" i="3"/>
  <c r="I147" i="2"/>
  <c r="C87" i="2"/>
  <c r="C78" i="2"/>
  <c r="I59" i="2" l="1"/>
  <c r="CE61" i="4"/>
  <c r="F50" i="2"/>
  <c r="F51" i="2"/>
  <c r="G49" i="2"/>
  <c r="F49" i="2"/>
  <c r="D49" i="2"/>
  <c r="BU48" i="4" s="1"/>
  <c r="E49" i="2"/>
  <c r="E78" i="2" s="1"/>
  <c r="E88" i="2" s="1"/>
  <c r="E50" i="2"/>
  <c r="E79" i="2" s="1"/>
  <c r="E89" i="2" s="1"/>
  <c r="E51" i="2"/>
  <c r="G51" i="2"/>
  <c r="G50" i="2"/>
  <c r="D50" i="2"/>
  <c r="BU49" i="4" s="1"/>
  <c r="D51" i="2"/>
  <c r="BU50" i="4" s="1"/>
  <c r="G46" i="2"/>
  <c r="D46" i="2"/>
  <c r="BU45" i="4" s="1"/>
  <c r="F46" i="2"/>
  <c r="E46" i="2"/>
  <c r="E58" i="2"/>
  <c r="CD61" i="4" s="1"/>
  <c r="D58" i="2"/>
  <c r="CC61" i="4" s="1"/>
  <c r="J67" i="3"/>
  <c r="D76" i="2"/>
  <c r="C79" i="2"/>
  <c r="C88" i="2"/>
  <c r="I148" i="2"/>
  <c r="J27" i="3"/>
  <c r="F76" i="2"/>
  <c r="F86" i="2" s="1"/>
  <c r="L147" i="2" s="1"/>
  <c r="I76" i="2"/>
  <c r="I86" i="2" s="1"/>
  <c r="K76" i="2"/>
  <c r="K86" i="2" s="1"/>
  <c r="Q147" i="2" s="1"/>
  <c r="I62" i="2" l="1"/>
  <c r="CE62" i="4"/>
  <c r="D59" i="2"/>
  <c r="CC62" i="4" s="1"/>
  <c r="E59" i="2"/>
  <c r="CD62" i="4" s="1"/>
  <c r="O147" i="2"/>
  <c r="BE6" i="4"/>
  <c r="G77" i="2"/>
  <c r="G87" i="2" s="1"/>
  <c r="G76" i="2"/>
  <c r="G86" i="2" s="1"/>
  <c r="M147" i="2" s="1"/>
  <c r="E76" i="2"/>
  <c r="E86" i="2" s="1"/>
  <c r="L26" i="3" s="1"/>
  <c r="L67" i="3" s="1"/>
  <c r="G79" i="2"/>
  <c r="G89" i="2" s="1"/>
  <c r="G80" i="2"/>
  <c r="G90" i="2" s="1"/>
  <c r="F79" i="2"/>
  <c r="F89" i="2" s="1"/>
  <c r="I149" i="2"/>
  <c r="J28" i="3"/>
  <c r="C80" i="2"/>
  <c r="C90" i="2" s="1"/>
  <c r="C89" i="2"/>
  <c r="F78" i="2"/>
  <c r="F88" i="2" s="1"/>
  <c r="F80" i="2"/>
  <c r="F90" i="2" s="1"/>
  <c r="D86" i="2"/>
  <c r="BC6" i="4" s="1"/>
  <c r="E77" i="2"/>
  <c r="E87" i="2" s="1"/>
  <c r="D79" i="2"/>
  <c r="E80" i="2"/>
  <c r="E90" i="2" s="1"/>
  <c r="D80" i="2"/>
  <c r="J76" i="2"/>
  <c r="J86" i="2" s="1"/>
  <c r="Q26" i="3" s="1"/>
  <c r="Q67" i="3" s="1"/>
  <c r="D77" i="2"/>
  <c r="F77" i="2"/>
  <c r="F87" i="2" s="1"/>
  <c r="M27" i="3" s="1"/>
  <c r="H77" i="2"/>
  <c r="H87" i="2" s="1"/>
  <c r="BD7" i="4" s="1"/>
  <c r="K77" i="2"/>
  <c r="K87" i="2" s="1"/>
  <c r="Q148" i="2" s="1"/>
  <c r="L76" i="2"/>
  <c r="L86" i="2" s="1"/>
  <c r="I77" i="2"/>
  <c r="I87" i="2" s="1"/>
  <c r="P26" i="3"/>
  <c r="P67" i="3" s="1"/>
  <c r="G78" i="2"/>
  <c r="G88" i="2" s="1"/>
  <c r="R26" i="3"/>
  <c r="R67" i="3" s="1"/>
  <c r="D78" i="2"/>
  <c r="H76" i="2"/>
  <c r="H86" i="2" s="1"/>
  <c r="BD6" i="4" s="1"/>
  <c r="M26" i="3"/>
  <c r="M67" i="3" s="1"/>
  <c r="CE65" i="4" l="1"/>
  <c r="I65" i="2"/>
  <c r="E62" i="2"/>
  <c r="CD65" i="4" s="1"/>
  <c r="D62" i="2"/>
  <c r="CC65" i="4" s="1"/>
  <c r="O148" i="2"/>
  <c r="BE7" i="4"/>
  <c r="K26" i="3"/>
  <c r="K67" i="3" s="1"/>
  <c r="N26" i="3"/>
  <c r="N67" i="3" s="1"/>
  <c r="K147" i="2"/>
  <c r="M76" i="2"/>
  <c r="J29" i="3"/>
  <c r="I150" i="2"/>
  <c r="J30" i="3"/>
  <c r="I151" i="2"/>
  <c r="J147" i="2"/>
  <c r="P27" i="3"/>
  <c r="D89" i="2"/>
  <c r="BC9" i="4" s="1"/>
  <c r="D90" i="2"/>
  <c r="BC10" i="4" s="1"/>
  <c r="R27" i="3"/>
  <c r="M86" i="2"/>
  <c r="BF6" i="4" s="1"/>
  <c r="I78" i="2"/>
  <c r="I88" i="2" s="1"/>
  <c r="L77" i="2"/>
  <c r="L87" i="2" s="1"/>
  <c r="K78" i="2"/>
  <c r="K88" i="2" s="1"/>
  <c r="Q149" i="2" s="1"/>
  <c r="D88" i="2"/>
  <c r="BC8" i="4" s="1"/>
  <c r="H78" i="2"/>
  <c r="H88" i="2" s="1"/>
  <c r="BD8" i="4" s="1"/>
  <c r="D87" i="2"/>
  <c r="BC7" i="4" s="1"/>
  <c r="J77" i="2"/>
  <c r="J87" i="2" s="1"/>
  <c r="N148" i="2"/>
  <c r="P147" i="2"/>
  <c r="R147" i="2"/>
  <c r="S26" i="3"/>
  <c r="S67" i="3" s="1"/>
  <c r="O27" i="3"/>
  <c r="K148" i="2"/>
  <c r="L27" i="3"/>
  <c r="M148" i="2"/>
  <c r="N27" i="3"/>
  <c r="L148" i="2"/>
  <c r="E65" i="2" l="1"/>
  <c r="CD68" i="4" s="1"/>
  <c r="CE68" i="4"/>
  <c r="D65" i="2"/>
  <c r="CC68" i="4" s="1"/>
  <c r="H79" i="2"/>
  <c r="H89" i="2" s="1"/>
  <c r="BD9" i="4" s="1"/>
  <c r="O149" i="2"/>
  <c r="BE8" i="4"/>
  <c r="N147" i="2"/>
  <c r="S147" i="2" s="1"/>
  <c r="P28" i="3"/>
  <c r="J148" i="2"/>
  <c r="M87" i="2"/>
  <c r="BF7" i="4" s="1"/>
  <c r="J149" i="2"/>
  <c r="M77" i="2"/>
  <c r="L78" i="2"/>
  <c r="L88" i="2" s="1"/>
  <c r="K27" i="3"/>
  <c r="O26" i="3"/>
  <c r="T26" i="3" s="1"/>
  <c r="R28" i="3"/>
  <c r="J78" i="2"/>
  <c r="J88" i="2" s="1"/>
  <c r="K80" i="2"/>
  <c r="K90" i="2" s="1"/>
  <c r="R30" i="3" s="1"/>
  <c r="K79" i="2"/>
  <c r="K89" i="2" s="1"/>
  <c r="I79" i="2"/>
  <c r="I89" i="2" s="1"/>
  <c r="J150" i="2"/>
  <c r="K28" i="3"/>
  <c r="R148" i="2"/>
  <c r="S27" i="3"/>
  <c r="P148" i="2"/>
  <c r="Q27" i="3"/>
  <c r="N149" i="2"/>
  <c r="O28" i="3"/>
  <c r="K29" i="3"/>
  <c r="J151" i="2"/>
  <c r="K149" i="2"/>
  <c r="L28" i="3"/>
  <c r="L149" i="2"/>
  <c r="M28" i="3"/>
  <c r="M149" i="2"/>
  <c r="N28" i="3"/>
  <c r="I80" i="2" l="1"/>
  <c r="I90" i="2" s="1"/>
  <c r="P30" i="3" s="1"/>
  <c r="O150" i="2"/>
  <c r="BE9" i="4"/>
  <c r="BE10" i="4"/>
  <c r="M88" i="2"/>
  <c r="BF8" i="4" s="1"/>
  <c r="D54" i="3"/>
  <c r="O67" i="3"/>
  <c r="T67" i="3" s="1"/>
  <c r="P29" i="3"/>
  <c r="M78" i="2"/>
  <c r="T27" i="3"/>
  <c r="D55" i="3" s="1"/>
  <c r="Q151" i="2"/>
  <c r="S148" i="2"/>
  <c r="J80" i="2"/>
  <c r="J90" i="2" s="1"/>
  <c r="J79" i="2"/>
  <c r="J89" i="2" s="1"/>
  <c r="L80" i="2"/>
  <c r="L90" i="2" s="1"/>
  <c r="L79" i="2"/>
  <c r="L89" i="2" s="1"/>
  <c r="Q150" i="2"/>
  <c r="R29" i="3"/>
  <c r="P149" i="2"/>
  <c r="Q28" i="3"/>
  <c r="R149" i="2"/>
  <c r="S28" i="3"/>
  <c r="N150" i="2"/>
  <c r="O29" i="3"/>
  <c r="K30" i="3"/>
  <c r="L150" i="2"/>
  <c r="M29" i="3"/>
  <c r="M150" i="2"/>
  <c r="N29" i="3"/>
  <c r="K150" i="2"/>
  <c r="L29" i="3"/>
  <c r="O151" i="2" l="1"/>
  <c r="M89" i="2"/>
  <c r="BF9" i="4" s="1"/>
  <c r="M79" i="2"/>
  <c r="T28" i="3"/>
  <c r="D56" i="3" s="1"/>
  <c r="S149" i="2"/>
  <c r="R150" i="2"/>
  <c r="S29" i="3"/>
  <c r="P150" i="2"/>
  <c r="Q29" i="3"/>
  <c r="M151" i="2"/>
  <c r="N30" i="3"/>
  <c r="L30" i="3"/>
  <c r="K151" i="2"/>
  <c r="M30" i="3"/>
  <c r="L151" i="2"/>
  <c r="T29" i="3" l="1"/>
  <c r="D57" i="3" s="1"/>
  <c r="S150" i="2"/>
  <c r="R151" i="2"/>
  <c r="S30" i="3"/>
  <c r="Q30" i="3"/>
  <c r="P151" i="2"/>
  <c r="Z6" i="4" l="1"/>
  <c r="AA6" i="4" l="1"/>
  <c r="Z7" i="4"/>
  <c r="Z9" i="4"/>
  <c r="AA8" i="4" l="1"/>
  <c r="Z8" i="4"/>
  <c r="AA7" i="4"/>
  <c r="AA9" i="4"/>
  <c r="Z10" i="4" l="1"/>
  <c r="AA10" i="4"/>
  <c r="I67" i="2" l="1"/>
  <c r="H80" i="2"/>
  <c r="M80" i="2" s="1"/>
  <c r="H90" i="2" l="1"/>
  <c r="BD10" i="4" s="1"/>
  <c r="M90" i="2" l="1"/>
  <c r="BF10" i="4" s="1"/>
  <c r="N151" i="2"/>
  <c r="S151" i="2" s="1"/>
  <c r="O30" i="3"/>
  <c r="T30" i="3" s="1"/>
  <c r="D58" i="3" s="1"/>
  <c r="D59" i="3" s="1"/>
  <c r="F55" i="3" l="1"/>
  <c r="E55" i="3"/>
  <c r="G57" i="3" l="1"/>
  <c r="G54" i="3"/>
  <c r="G55" i="3"/>
  <c r="G56" i="3"/>
  <c r="G58" i="3"/>
  <c r="K69" i="3"/>
  <c r="O70" i="3"/>
  <c r="S69" i="3"/>
  <c r="Q70" i="3"/>
  <c r="F69" i="3"/>
  <c r="M70" i="3"/>
  <c r="M69" i="3"/>
  <c r="R70" i="3"/>
  <c r="K70" i="3"/>
  <c r="N69" i="3"/>
  <c r="L69" i="3"/>
  <c r="E70" i="3"/>
  <c r="J69" i="3"/>
  <c r="D69" i="3"/>
  <c r="G69" i="3"/>
  <c r="Q69" i="3"/>
  <c r="S70" i="3"/>
  <c r="J70" i="3"/>
  <c r="P70" i="3"/>
  <c r="R69" i="3"/>
  <c r="L70" i="3"/>
  <c r="P69" i="3"/>
  <c r="D68" i="3"/>
  <c r="Q68" i="3"/>
  <c r="S68" i="3"/>
  <c r="K68" i="3"/>
  <c r="N70" i="3"/>
  <c r="G70" i="3"/>
  <c r="D70" i="3"/>
  <c r="L68" i="3"/>
  <c r="F68" i="3"/>
  <c r="M68" i="3"/>
  <c r="O69" i="3"/>
  <c r="E69" i="3"/>
  <c r="P68" i="3"/>
  <c r="E68" i="3"/>
  <c r="O68" i="3"/>
  <c r="J68" i="3"/>
  <c r="F70" i="3"/>
  <c r="N68" i="3"/>
  <c r="G68" i="3"/>
  <c r="R68" i="3"/>
  <c r="N71" i="3"/>
  <c r="P71" i="3"/>
  <c r="M71" i="3"/>
  <c r="O71" i="3"/>
  <c r="J71" i="3"/>
  <c r="E71" i="3"/>
  <c r="F71" i="3"/>
  <c r="S71" i="3"/>
  <c r="L71" i="3"/>
  <c r="Q71" i="3"/>
  <c r="G71" i="3"/>
  <c r="K71" i="3"/>
  <c r="D71" i="3"/>
  <c r="R71" i="3"/>
  <c r="T71" i="3" l="1"/>
  <c r="P72" i="3"/>
  <c r="P83" i="3" s="1"/>
  <c r="P105" i="3" s="1"/>
  <c r="R72" i="3"/>
  <c r="J72" i="3"/>
  <c r="L72" i="3"/>
  <c r="K72" i="3"/>
  <c r="T69" i="3"/>
  <c r="D72" i="3"/>
  <c r="T68" i="3"/>
  <c r="G72" i="3"/>
  <c r="O72" i="3"/>
  <c r="T70" i="3"/>
  <c r="S72" i="3"/>
  <c r="F72" i="3"/>
  <c r="N72" i="3"/>
  <c r="E72" i="3"/>
  <c r="M72" i="3"/>
  <c r="Q72" i="3"/>
  <c r="P84" i="3" l="1"/>
  <c r="P80" i="3"/>
  <c r="P102" i="3" s="1"/>
  <c r="P81" i="3"/>
  <c r="P103" i="3" s="1"/>
  <c r="P82" i="3"/>
  <c r="P104" i="3" s="1"/>
  <c r="P79" i="3"/>
  <c r="P101" i="3" s="1"/>
  <c r="E84" i="3"/>
  <c r="E83" i="3"/>
  <c r="E81" i="3"/>
  <c r="E80" i="3"/>
  <c r="E82" i="3"/>
  <c r="E79" i="3"/>
  <c r="L81" i="3"/>
  <c r="L103" i="3" s="1"/>
  <c r="L83" i="3"/>
  <c r="L105" i="3" s="1"/>
  <c r="L84" i="3"/>
  <c r="L80" i="3"/>
  <c r="L102" i="3" s="1"/>
  <c r="L82" i="3"/>
  <c r="L104" i="3" s="1"/>
  <c r="L79" i="3"/>
  <c r="L101" i="3" s="1"/>
  <c r="K83" i="3"/>
  <c r="K105" i="3" s="1"/>
  <c r="K84" i="3"/>
  <c r="K82" i="3"/>
  <c r="K104" i="3" s="1"/>
  <c r="K80" i="3"/>
  <c r="K102" i="3" s="1"/>
  <c r="K81" i="3"/>
  <c r="K103" i="3" s="1"/>
  <c r="K79" i="3"/>
  <c r="K101" i="3" s="1"/>
  <c r="O84" i="3"/>
  <c r="O80" i="3"/>
  <c r="O102" i="3" s="1"/>
  <c r="O83" i="3"/>
  <c r="O105" i="3" s="1"/>
  <c r="O79" i="3"/>
  <c r="O101" i="3" s="1"/>
  <c r="O82" i="3"/>
  <c r="O104" i="3" s="1"/>
  <c r="O81" i="3"/>
  <c r="O103" i="3" s="1"/>
  <c r="Q84" i="3"/>
  <c r="Q83" i="3"/>
  <c r="Q105" i="3" s="1"/>
  <c r="Q79" i="3"/>
  <c r="Q101" i="3" s="1"/>
  <c r="Q81" i="3"/>
  <c r="Q103" i="3" s="1"/>
  <c r="Q80" i="3"/>
  <c r="Q102" i="3" s="1"/>
  <c r="Q82" i="3"/>
  <c r="Q104" i="3" s="1"/>
  <c r="F82" i="3"/>
  <c r="F80" i="3"/>
  <c r="F83" i="3"/>
  <c r="F84" i="3"/>
  <c r="F81" i="3"/>
  <c r="F79" i="3"/>
  <c r="G84" i="3"/>
  <c r="G81" i="3"/>
  <c r="G83" i="3"/>
  <c r="G80" i="3"/>
  <c r="G79" i="3"/>
  <c r="G82" i="3"/>
  <c r="J84" i="3"/>
  <c r="J83" i="3"/>
  <c r="J105" i="3" s="1"/>
  <c r="J82" i="3"/>
  <c r="J104" i="3" s="1"/>
  <c r="J79" i="3"/>
  <c r="J101" i="3" s="1"/>
  <c r="J81" i="3"/>
  <c r="J103" i="3" s="1"/>
  <c r="J80" i="3"/>
  <c r="J102" i="3" s="1"/>
  <c r="T72" i="3"/>
  <c r="D80" i="3"/>
  <c r="D84" i="3"/>
  <c r="D82" i="3"/>
  <c r="D81" i="3"/>
  <c r="D79" i="3"/>
  <c r="D83" i="3"/>
  <c r="N84" i="3"/>
  <c r="N82" i="3"/>
  <c r="N104" i="3" s="1"/>
  <c r="N80" i="3"/>
  <c r="N102" i="3" s="1"/>
  <c r="N81" i="3"/>
  <c r="N103" i="3" s="1"/>
  <c r="N79" i="3"/>
  <c r="N101" i="3" s="1"/>
  <c r="N83" i="3"/>
  <c r="N105" i="3" s="1"/>
  <c r="M84" i="3"/>
  <c r="M82" i="3"/>
  <c r="M104" i="3" s="1"/>
  <c r="M80" i="3"/>
  <c r="M102" i="3" s="1"/>
  <c r="M81" i="3"/>
  <c r="M103" i="3" s="1"/>
  <c r="M83" i="3"/>
  <c r="M105" i="3" s="1"/>
  <c r="M79" i="3"/>
  <c r="M101" i="3" s="1"/>
  <c r="S84" i="3"/>
  <c r="S80" i="3"/>
  <c r="S102" i="3" s="1"/>
  <c r="S83" i="3"/>
  <c r="S105" i="3" s="1"/>
  <c r="S81" i="3"/>
  <c r="S103" i="3" s="1"/>
  <c r="S79" i="3"/>
  <c r="S101" i="3" s="1"/>
  <c r="S82" i="3"/>
  <c r="S104" i="3" s="1"/>
  <c r="R80" i="3"/>
  <c r="R102" i="3" s="1"/>
  <c r="R83" i="3"/>
  <c r="R105" i="3" s="1"/>
  <c r="R82" i="3"/>
  <c r="R104" i="3" s="1"/>
  <c r="R79" i="3"/>
  <c r="R101" i="3" s="1"/>
  <c r="R84" i="3"/>
  <c r="R81" i="3"/>
  <c r="R103" i="3" s="1"/>
  <c r="P106" i="3" l="1"/>
  <c r="P108" i="3" s="1"/>
  <c r="P117" i="3" s="1"/>
  <c r="P122" i="3" s="1"/>
  <c r="AA120" i="3" s="1"/>
  <c r="R106" i="3"/>
  <c r="R108" i="3" s="1"/>
  <c r="R117" i="3" s="1"/>
  <c r="F105" i="3"/>
  <c r="E102" i="3"/>
  <c r="S106" i="3"/>
  <c r="S108" i="3" s="1"/>
  <c r="S117" i="3" s="1"/>
  <c r="N106" i="3"/>
  <c r="N108" i="3" s="1"/>
  <c r="N117" i="3" s="1"/>
  <c r="T82" i="3"/>
  <c r="D104" i="3"/>
  <c r="G102" i="3"/>
  <c r="F101" i="3"/>
  <c r="F102" i="3"/>
  <c r="L106" i="3"/>
  <c r="L108" i="3" s="1"/>
  <c r="L117" i="3" s="1"/>
  <c r="E103" i="3"/>
  <c r="D103" i="3"/>
  <c r="T81" i="3"/>
  <c r="G101" i="3"/>
  <c r="M106" i="3"/>
  <c r="M108" i="3" s="1"/>
  <c r="M117" i="3" s="1"/>
  <c r="D105" i="3"/>
  <c r="T83" i="3"/>
  <c r="T84" i="3"/>
  <c r="G105" i="3"/>
  <c r="F103" i="3"/>
  <c r="F104" i="3"/>
  <c r="Q106" i="3"/>
  <c r="Q108" i="3" s="1"/>
  <c r="Q117" i="3" s="1"/>
  <c r="E101" i="3"/>
  <c r="E105" i="3"/>
  <c r="D101" i="3"/>
  <c r="T79" i="3"/>
  <c r="D102" i="3"/>
  <c r="T80" i="3"/>
  <c r="J106" i="3"/>
  <c r="J108" i="3" s="1"/>
  <c r="J117" i="3" s="1"/>
  <c r="G104" i="3"/>
  <c r="G103" i="3"/>
  <c r="O106" i="3"/>
  <c r="O108" i="3" s="1"/>
  <c r="O117" i="3" s="1"/>
  <c r="K106" i="3"/>
  <c r="K108" i="3" s="1"/>
  <c r="K117" i="3" s="1"/>
  <c r="E104" i="3"/>
  <c r="T102" i="3" l="1"/>
  <c r="J122" i="3"/>
  <c r="G106" i="3"/>
  <c r="G108" i="3" s="1"/>
  <c r="G117" i="3" s="1"/>
  <c r="T103" i="3"/>
  <c r="T101" i="3"/>
  <c r="D106" i="3"/>
  <c r="E106" i="3"/>
  <c r="E108" i="3" s="1"/>
  <c r="E117" i="3" s="1"/>
  <c r="T105" i="3"/>
  <c r="N122" i="3"/>
  <c r="O122" i="3"/>
  <c r="Z120" i="3" s="1"/>
  <c r="K122" i="3"/>
  <c r="Y120" i="3" s="1"/>
  <c r="F106" i="3"/>
  <c r="F108" i="3" s="1"/>
  <c r="F117" i="3" s="1"/>
  <c r="T104" i="3"/>
  <c r="S122" i="3"/>
  <c r="Q122" i="3"/>
  <c r="M122" i="3"/>
  <c r="L122" i="3"/>
  <c r="R122" i="3"/>
  <c r="W6" i="4" l="1"/>
  <c r="E122" i="3"/>
  <c r="W9" i="4" s="1"/>
  <c r="Y6" i="4"/>
  <c r="G122" i="3"/>
  <c r="F122" i="3"/>
  <c r="X9" i="4" s="1"/>
  <c r="X6" i="4"/>
  <c r="T106" i="3"/>
  <c r="D108" i="3"/>
  <c r="Y9" i="4" l="1"/>
  <c r="X120" i="3"/>
  <c r="T108" i="3"/>
  <c r="D117" i="3"/>
  <c r="V6" i="4" l="1"/>
  <c r="D122" i="3"/>
  <c r="T117" i="3"/>
  <c r="P119" i="3" l="1"/>
  <c r="P120" i="3"/>
  <c r="S119" i="3"/>
  <c r="J119" i="3"/>
  <c r="O119" i="3"/>
  <c r="K120" i="3"/>
  <c r="R120" i="3"/>
  <c r="R124" i="3" s="1"/>
  <c r="R125" i="3" s="1"/>
  <c r="J120" i="3"/>
  <c r="J124" i="3" s="1"/>
  <c r="J125" i="3" s="1"/>
  <c r="N119" i="3"/>
  <c r="O120" i="3"/>
  <c r="S120" i="3"/>
  <c r="S124" i="3" s="1"/>
  <c r="S125" i="3" s="1"/>
  <c r="M119" i="3"/>
  <c r="M120" i="3"/>
  <c r="M124" i="3" s="1"/>
  <c r="M125" i="3" s="1"/>
  <c r="L119" i="3"/>
  <c r="N120" i="3"/>
  <c r="N124" i="3" s="1"/>
  <c r="N125" i="3" s="1"/>
  <c r="K119" i="3"/>
  <c r="L120" i="3"/>
  <c r="L124" i="3" s="1"/>
  <c r="L125" i="3" s="1"/>
  <c r="Q119" i="3"/>
  <c r="R119" i="3"/>
  <c r="Q120" i="3"/>
  <c r="Q124" i="3" s="1"/>
  <c r="Q125" i="3" s="1"/>
  <c r="F120" i="3"/>
  <c r="G119" i="3"/>
  <c r="Y7" i="4" s="1"/>
  <c r="E119" i="3"/>
  <c r="W7" i="4" s="1"/>
  <c r="G120" i="3"/>
  <c r="X119" i="3" s="1"/>
  <c r="F119" i="3"/>
  <c r="X7" i="4" s="1"/>
  <c r="E120" i="3"/>
  <c r="D120" i="3"/>
  <c r="T122" i="3"/>
  <c r="V9" i="4"/>
  <c r="D119" i="3"/>
  <c r="O124" i="3" l="1"/>
  <c r="O125" i="3" s="1"/>
  <c r="Z119" i="3"/>
  <c r="K124" i="3"/>
  <c r="K125" i="3" s="1"/>
  <c r="Y119" i="3"/>
  <c r="P124" i="3"/>
  <c r="P125" i="3" s="1"/>
  <c r="AA119" i="3"/>
  <c r="Y8" i="4"/>
  <c r="G124" i="3"/>
  <c r="G125" i="3" s="1"/>
  <c r="Q132" i="3"/>
  <c r="Q129" i="3"/>
  <c r="Q130" i="3" s="1"/>
  <c r="J132" i="3"/>
  <c r="J129" i="3"/>
  <c r="J130" i="3" s="1"/>
  <c r="V7" i="4"/>
  <c r="T119" i="3"/>
  <c r="T120" i="3"/>
  <c r="D124" i="3"/>
  <c r="D125" i="3" s="1"/>
  <c r="V8" i="4"/>
  <c r="N132" i="3"/>
  <c r="N129" i="3"/>
  <c r="N130" i="3" s="1"/>
  <c r="S129" i="3"/>
  <c r="S130" i="3" s="1"/>
  <c r="S132" i="3"/>
  <c r="R132" i="3"/>
  <c r="R129" i="3"/>
  <c r="R130" i="3" s="1"/>
  <c r="W8" i="4"/>
  <c r="E124" i="3"/>
  <c r="E125" i="3" s="1"/>
  <c r="F124" i="3"/>
  <c r="F125" i="3" s="1"/>
  <c r="X8" i="4"/>
  <c r="L132" i="3"/>
  <c r="L129" i="3"/>
  <c r="L130" i="3" s="1"/>
  <c r="M129" i="3"/>
  <c r="M130" i="3" s="1"/>
  <c r="M132" i="3"/>
  <c r="K129" i="3" l="1"/>
  <c r="K130" i="3" s="1"/>
  <c r="P132" i="3"/>
  <c r="G143" i="3" s="1"/>
  <c r="BO6" i="4" s="1"/>
  <c r="O132" i="3"/>
  <c r="F143" i="3" s="1"/>
  <c r="BN6" i="4" s="1"/>
  <c r="O129" i="3"/>
  <c r="O130" i="3" s="1"/>
  <c r="P129" i="3"/>
  <c r="P130" i="3" s="1"/>
  <c r="AW6" i="4"/>
  <c r="K132" i="3"/>
  <c r="E143" i="3" s="1"/>
  <c r="BM6" i="4" s="1"/>
  <c r="W10" i="4"/>
  <c r="E132" i="3"/>
  <c r="E129" i="3"/>
  <c r="E130" i="3" s="1"/>
  <c r="V10" i="4"/>
  <c r="D132" i="3"/>
  <c r="T124" i="3"/>
  <c r="D129" i="3"/>
  <c r="Y10" i="4"/>
  <c r="G129" i="3"/>
  <c r="G130" i="3" s="1"/>
  <c r="G132" i="3"/>
  <c r="D143" i="3" s="1"/>
  <c r="BL6" i="4" s="1"/>
  <c r="X10" i="4"/>
  <c r="F129" i="3"/>
  <c r="F130" i="3" s="1"/>
  <c r="F132" i="3"/>
  <c r="AU6" i="4" l="1"/>
  <c r="AV6" i="4"/>
  <c r="H143" i="3"/>
  <c r="BP6" i="4" s="1"/>
  <c r="T129" i="3"/>
  <c r="D130" i="3"/>
  <c r="AT6" i="4"/>
  <c r="D151" i="3" l="1"/>
  <c r="BR11" i="4" s="1"/>
  <c r="AX6" i="4"/>
  <c r="D134" i="3"/>
  <c r="U130" i="3"/>
  <c r="D152" i="3" l="1"/>
  <c r="BR12" i="4" s="1"/>
  <c r="AT11" i="4"/>
  <c r="AU12" i="4" l="1"/>
  <c r="AT12" i="4"/>
</calcChain>
</file>

<file path=xl/sharedStrings.xml><?xml version="1.0" encoding="utf-8"?>
<sst xmlns="http://schemas.openxmlformats.org/spreadsheetml/2006/main" count="410" uniqueCount="232">
  <si>
    <t>DFRTP</t>
  </si>
  <si>
    <t>PGE</t>
  </si>
  <si>
    <t>NWE</t>
  </si>
  <si>
    <t>IPC</t>
  </si>
  <si>
    <t>$</t>
  </si>
  <si>
    <t>$ Benefit</t>
  </si>
  <si>
    <t>STEP 1</t>
  </si>
  <si>
    <t>a.</t>
  </si>
  <si>
    <t>Was proposed for such purpose by a pre-qualified sponsoring entity, was an unsponsored project identified in the regional planning process, or was an unsponsored project proposed by a stakeholder (or Transmission Provider or non-incumbent transmission developer not desiring to sponsor the project);</t>
  </si>
  <si>
    <t>b.</t>
  </si>
  <si>
    <t>Was selected in the Draft Regional Transmission Plan; and</t>
  </si>
  <si>
    <t>c.</t>
  </si>
  <si>
    <t>Has an estimated cost exceeding $20 million.</t>
  </si>
  <si>
    <t>STEP 2</t>
  </si>
  <si>
    <t>Case</t>
  </si>
  <si>
    <t>Step 3</t>
  </si>
  <si>
    <t>Adjusted Net Benefits</t>
  </si>
  <si>
    <t>Sum</t>
  </si>
  <si>
    <r>
      <t xml:space="preserve">For projects eligible to receive a cost allocation, the Cost Allocation Committee shall start with the calculations provided by the Planning Committee pursuant to Section 3.7.4.1, and </t>
    </r>
    <r>
      <rPr>
        <sz val="11"/>
        <color rgb="FFFF0000"/>
        <rFont val="Calibri"/>
        <family val="2"/>
        <scheme val="minor"/>
      </rPr>
      <t xml:space="preserve">remove those entities that do not receive a benefit from the project being evaluated. </t>
    </r>
  </si>
  <si>
    <t>STEP 4</t>
  </si>
  <si>
    <t>Allocate Costs</t>
  </si>
  <si>
    <t>A</t>
  </si>
  <si>
    <t>B</t>
  </si>
  <si>
    <t>If &lt; $100,000, then $0</t>
  </si>
  <si>
    <t>Beneficiaries</t>
  </si>
  <si>
    <t>PAC</t>
  </si>
  <si>
    <t>Before allocating a transmission project's cost, the Cost Allocation Committee will adjust, as appropriate, the calculated initial net benefits for each Beneficiary based upon the following criteria:</t>
  </si>
  <si>
    <t>50% of Average</t>
  </si>
  <si>
    <t>150% of Average</t>
  </si>
  <si>
    <t>Is Scenario between upper and lower cap?</t>
  </si>
  <si>
    <t>Criteria A</t>
  </si>
  <si>
    <t>Adjusted</t>
  </si>
  <si>
    <t>(if approprtiate)</t>
  </si>
  <si>
    <t>AVERAGE of Net Benefits</t>
  </si>
  <si>
    <t>Data from Planning Committee</t>
  </si>
  <si>
    <r>
      <t>The Cost Allocation Committee initially identifies Beneficiaries as all those entities that may be affected by the project based upon the application of the analysis criteria set forth in Section 3.7.4.2 and using the allocation scenarios developed pursuant to Section 3.8.2.3.  For projects eligible to receive a cost allocation, the Cost Allocation Committee</t>
    </r>
    <r>
      <rPr>
        <sz val="11"/>
        <color rgb="FFFF0000"/>
        <rFont val="Calibri"/>
        <family val="2"/>
        <scheme val="minor"/>
      </rPr>
      <t xml:space="preserve"> shall start with the calculations provided by the Planning Committee</t>
    </r>
    <r>
      <rPr>
        <sz val="11"/>
        <color theme="1"/>
        <rFont val="Calibri"/>
        <family val="2"/>
        <scheme val="minor"/>
      </rPr>
      <t xml:space="preserve"> pursuant to Section 3.7.4.1, and remove those entities that do not receive a benefit from the project being evaluated. </t>
    </r>
  </si>
  <si>
    <r>
      <t xml:space="preserve">The net benefits attributed </t>
    </r>
    <r>
      <rPr>
        <sz val="11"/>
        <color rgb="FFFF0000"/>
        <rFont val="Calibri"/>
        <family val="2"/>
        <scheme val="minor"/>
      </rPr>
      <t>in any scenario</t>
    </r>
    <r>
      <rPr>
        <sz val="11"/>
        <rFont val="Calibri"/>
        <family val="2"/>
        <scheme val="minor"/>
      </rPr>
      <t xml:space="preserve"> are </t>
    </r>
    <r>
      <rPr>
        <sz val="11"/>
        <color rgb="FFFF0000"/>
        <rFont val="Calibri"/>
        <family val="2"/>
        <scheme val="minor"/>
      </rPr>
      <t>capped</t>
    </r>
    <r>
      <rPr>
        <sz val="11"/>
        <rFont val="Calibri"/>
        <family val="2"/>
        <scheme val="minor"/>
      </rPr>
      <t xml:space="preserve"> at </t>
    </r>
    <r>
      <rPr>
        <sz val="11"/>
        <color rgb="FFFF0000"/>
        <rFont val="Calibri"/>
        <family val="2"/>
        <scheme val="minor"/>
      </rPr>
      <t>no less than 50% and no more than 150% of the average of the unadjusted, net benefits (whether positive or negative)</t>
    </r>
  </si>
  <si>
    <r>
      <t xml:space="preserve">Adjusted scenario total benefit to be between upper and lower caps and redistrbenefits entity benefits on a </t>
    </r>
    <r>
      <rPr>
        <sz val="11"/>
        <color rgb="FFFF0000"/>
        <rFont val="Calibri"/>
        <family val="2"/>
        <scheme val="minor"/>
      </rPr>
      <t>prorated basis</t>
    </r>
    <r>
      <rPr>
        <sz val="11"/>
        <rFont val="Calibri"/>
        <family val="2"/>
        <scheme val="minor"/>
      </rPr>
      <t>.</t>
    </r>
  </si>
  <si>
    <t>To be eligible for cost allocation, and therefore selected into the Draft Transmission Plan for purposes of cost allocation, the Planning Committee Cost shall verify that the project:</t>
  </si>
  <si>
    <t>Verification</t>
  </si>
  <si>
    <t>Yes, the alternative project was selected in the transmission plan.</t>
  </si>
  <si>
    <t>Yes, the alternative project was identified in the regaional planning process, thus it is an unsponsored project.</t>
  </si>
  <si>
    <t>Adj Net Benefit</t>
  </si>
  <si>
    <t>Criteria a applied</t>
  </si>
  <si>
    <t>Criteria a and b applied</t>
  </si>
  <si>
    <r>
      <t xml:space="preserve">Each of these adjustments is applied to each Beneficiary independent of other Beneficiaries.  The initial (and adjusted) net </t>
    </r>
    <r>
      <rPr>
        <sz val="11"/>
        <color rgb="FFFF0000"/>
        <rFont val="Calibri"/>
        <family val="2"/>
        <scheme val="minor"/>
      </rPr>
      <t>benefits</t>
    </r>
    <r>
      <rPr>
        <sz val="11"/>
        <color theme="1"/>
        <rFont val="Calibri"/>
        <family val="2"/>
        <scheme val="minor"/>
      </rPr>
      <t xml:space="preserve"> for the </t>
    </r>
    <r>
      <rPr>
        <sz val="11"/>
        <color rgb="FFFF0000"/>
        <rFont val="Calibri"/>
        <family val="2"/>
        <scheme val="minor"/>
      </rPr>
      <t>selected</t>
    </r>
    <r>
      <rPr>
        <sz val="11"/>
        <color theme="1"/>
        <rFont val="Calibri"/>
        <family val="2"/>
        <scheme val="minor"/>
      </rPr>
      <t xml:space="preserve"> </t>
    </r>
    <r>
      <rPr>
        <sz val="11"/>
        <color rgb="FFFF0000"/>
        <rFont val="Calibri"/>
        <family val="2"/>
        <scheme val="minor"/>
      </rPr>
      <t>Change Case</t>
    </r>
    <r>
      <rPr>
        <sz val="11"/>
        <color theme="1"/>
        <rFont val="Calibri"/>
        <family val="2"/>
        <scheme val="minor"/>
      </rPr>
      <t xml:space="preserve"> are the </t>
    </r>
    <r>
      <rPr>
        <sz val="11"/>
        <color rgb="FFFF0000"/>
        <rFont val="Calibri"/>
        <family val="2"/>
        <scheme val="minor"/>
      </rPr>
      <t>sum of the benefits</t>
    </r>
    <r>
      <rPr>
        <sz val="11"/>
        <color theme="1"/>
        <rFont val="Calibri"/>
        <family val="2"/>
        <scheme val="minor"/>
      </rPr>
      <t xml:space="preserve"> (which numerically may be positive or negative) </t>
    </r>
    <r>
      <rPr>
        <sz val="11"/>
        <color rgb="FFFF0000"/>
        <rFont val="Calibri"/>
        <family val="2"/>
        <scheme val="minor"/>
      </rPr>
      <t>across each of the analysis criteria</t>
    </r>
    <r>
      <rPr>
        <sz val="11"/>
        <color theme="1"/>
        <rFont val="Calibri"/>
        <family val="2"/>
        <scheme val="minor"/>
      </rPr>
      <t>.  A Beneficiary will be included in the steps above even if only one of the analysis criteria is applicable to that Beneficiary and the estimated benefits for the other analysis criteria are, by definition, zero.</t>
    </r>
  </si>
  <si>
    <t>CAC Scenarion Average</t>
  </si>
  <si>
    <t>Used in Criterion b</t>
  </si>
  <si>
    <t>Criterion b.</t>
  </si>
  <si>
    <t>Criterion a.</t>
  </si>
  <si>
    <r>
      <t xml:space="preserve">If the </t>
    </r>
    <r>
      <rPr>
        <sz val="11"/>
        <color rgb="FFFF0000"/>
        <rFont val="Calibri"/>
        <family val="2"/>
        <scheme val="minor"/>
      </rPr>
      <t>average</t>
    </r>
    <r>
      <rPr>
        <sz val="11"/>
        <rFont val="Calibri"/>
        <family val="2"/>
        <scheme val="minor"/>
      </rPr>
      <t xml:space="preserve"> of the </t>
    </r>
    <r>
      <rPr>
        <sz val="11"/>
        <color rgb="FFFF0000"/>
        <rFont val="Calibri"/>
        <family val="2"/>
        <scheme val="minor"/>
      </rPr>
      <t>net benefits</t>
    </r>
    <r>
      <rPr>
        <sz val="11"/>
        <rFont val="Calibri"/>
        <family val="2"/>
        <scheme val="minor"/>
      </rPr>
      <t xml:space="preserve">, as adjusted by (a) above, </t>
    </r>
    <r>
      <rPr>
        <sz val="11"/>
        <color rgb="FFFF0000"/>
        <rFont val="Calibri"/>
        <family val="2"/>
        <scheme val="minor"/>
      </rPr>
      <t>across the allocation scenarios is negative</t>
    </r>
    <r>
      <rPr>
        <sz val="11"/>
        <rFont val="Calibri"/>
        <family val="2"/>
        <scheme val="minor"/>
      </rPr>
      <t xml:space="preserve">, the </t>
    </r>
    <r>
      <rPr>
        <sz val="11"/>
        <color rgb="FFFF0000"/>
        <rFont val="Calibri"/>
        <family val="2"/>
        <scheme val="minor"/>
      </rPr>
      <t>average net benefit to that Beneficiary</t>
    </r>
    <r>
      <rPr>
        <sz val="11"/>
        <rFont val="Calibri"/>
        <family val="2"/>
        <scheme val="minor"/>
      </rPr>
      <t xml:space="preserve"> is </t>
    </r>
    <r>
      <rPr>
        <sz val="11"/>
        <color rgb="FFFF0000"/>
        <rFont val="Calibri"/>
        <family val="2"/>
        <scheme val="minor"/>
      </rPr>
      <t>set to zero</t>
    </r>
    <r>
      <rPr>
        <sz val="11"/>
        <rFont val="Calibri"/>
        <family val="2"/>
        <scheme val="minor"/>
      </rPr>
      <t>.</t>
    </r>
  </si>
  <si>
    <t>Average Net Benefit Used in Allocation Below</t>
  </si>
  <si>
    <r>
      <t xml:space="preserve">The adjusted net benefits, as determined by applying the limits in the two conditions above, are used for </t>
    </r>
    <r>
      <rPr>
        <sz val="11"/>
        <color rgb="FFFF0000"/>
        <rFont val="Calibri"/>
        <family val="2"/>
        <scheme val="minor"/>
      </rPr>
      <t>allocating project costs proportionally to Beneficiaries</t>
    </r>
    <r>
      <rPr>
        <sz val="11"/>
        <color theme="1"/>
        <rFont val="Calibri"/>
        <family val="2"/>
        <scheme val="minor"/>
      </rPr>
      <t xml:space="preserve">.  
</t>
    </r>
  </si>
  <si>
    <t>Ratio adjusted net benefit to allocated cost</t>
  </si>
  <si>
    <r>
      <t xml:space="preserve">However, Beneficiaries </t>
    </r>
    <r>
      <rPr>
        <sz val="11"/>
        <color rgb="FFFF0000"/>
        <rFont val="Calibri"/>
        <family val="2"/>
        <scheme val="minor"/>
      </rPr>
      <t>other than the Applicant</t>
    </r>
    <r>
      <rPr>
        <sz val="11"/>
        <color theme="1"/>
        <rFont val="Calibri"/>
        <family val="2"/>
        <scheme val="minor"/>
      </rPr>
      <t xml:space="preserve"> will only be</t>
    </r>
    <r>
      <rPr>
        <sz val="11"/>
        <color rgb="FFFF0000"/>
        <rFont val="Calibri"/>
        <family val="2"/>
        <scheme val="minor"/>
      </rPr>
      <t xml:space="preserve"> allocated costs</t>
    </r>
    <r>
      <rPr>
        <sz val="11"/>
        <color theme="1"/>
        <rFont val="Calibri"/>
        <family val="2"/>
        <scheme val="minor"/>
      </rPr>
      <t xml:space="preserve"> such that the</t>
    </r>
    <r>
      <rPr>
        <sz val="11"/>
        <color rgb="FFFF0000"/>
        <rFont val="Calibri"/>
        <family val="2"/>
        <scheme val="minor"/>
      </rPr>
      <t xml:space="preserve"> ratio of adjusted net benefits to allocated costs</t>
    </r>
    <r>
      <rPr>
        <sz val="11"/>
        <color theme="1"/>
        <rFont val="Calibri"/>
        <family val="2"/>
        <scheme val="minor"/>
      </rPr>
      <t xml:space="preserve"> is </t>
    </r>
    <r>
      <rPr>
        <sz val="11"/>
        <color rgb="FFFF0000"/>
        <rFont val="Calibri"/>
        <family val="2"/>
        <scheme val="minor"/>
      </rPr>
      <t>no less than 1.10 (or, if there is no Applicant, no less than 1.10)</t>
    </r>
    <r>
      <rPr>
        <sz val="11"/>
        <color theme="1"/>
        <rFont val="Calibri"/>
        <family val="2"/>
        <scheme val="minor"/>
      </rPr>
      <t xml:space="preserve">.  
If a Beneficiary has an </t>
    </r>
    <r>
      <rPr>
        <sz val="11"/>
        <color rgb="FFFF0000"/>
        <rFont val="Calibri"/>
        <family val="2"/>
        <scheme val="minor"/>
      </rPr>
      <t>allocated cost of less than $100,000,</t>
    </r>
    <r>
      <rPr>
        <sz val="11"/>
        <color theme="1"/>
        <rFont val="Calibri"/>
        <family val="2"/>
        <scheme val="minor"/>
      </rPr>
      <t xml:space="preserve"> the cost allocated to that Beneficiary is </t>
    </r>
    <r>
      <rPr>
        <sz val="11"/>
        <color rgb="FFFF0000"/>
        <rFont val="Calibri"/>
        <family val="2"/>
        <scheme val="minor"/>
      </rPr>
      <t>set to zero</t>
    </r>
    <r>
      <rPr>
        <sz val="11"/>
        <color theme="1"/>
        <rFont val="Calibri"/>
        <family val="2"/>
        <scheme val="minor"/>
      </rPr>
      <t xml:space="preserve">. </t>
    </r>
  </si>
  <si>
    <t>1st Round of Allocation</t>
  </si>
  <si>
    <t>Ratio &lt; = 1.10?</t>
  </si>
  <si>
    <r>
      <rPr>
        <sz val="11"/>
        <color rgb="FFFF0000"/>
        <rFont val="Calibri"/>
        <family val="2"/>
        <scheme val="minor"/>
      </rPr>
      <t>Unallocated costs</t>
    </r>
    <r>
      <rPr>
        <sz val="11"/>
        <rFont val="Calibri"/>
        <family val="2"/>
        <scheme val="minor"/>
      </rPr>
      <t xml:space="preserve"> due to the limitations above are reallocated among the remaining Beneficiaries.</t>
    </r>
    <r>
      <rPr>
        <sz val="11"/>
        <color theme="1"/>
        <rFont val="Calibri"/>
        <family val="2"/>
        <scheme val="minor"/>
      </rPr>
      <t xml:space="preserve">  </t>
    </r>
    <r>
      <rPr>
        <sz val="11"/>
        <color rgb="FFFF0000"/>
        <rFont val="Calibri"/>
        <family val="2"/>
        <scheme val="minor"/>
      </rPr>
      <t>Reallocation will continue among regional Beneficiaries</t>
    </r>
    <r>
      <rPr>
        <sz val="11"/>
        <color theme="1"/>
        <rFont val="Calibri"/>
        <family val="2"/>
        <scheme val="minor"/>
      </rPr>
      <t xml:space="preserve">, which are still </t>
    </r>
    <r>
      <rPr>
        <sz val="11"/>
        <color rgb="FFFF0000"/>
        <rFont val="Calibri"/>
        <family val="2"/>
        <scheme val="minor"/>
      </rPr>
      <t>above the benefit-cost threshold</t>
    </r>
    <r>
      <rPr>
        <sz val="11"/>
        <color theme="1"/>
        <rFont val="Calibri"/>
        <family val="2"/>
        <scheme val="minor"/>
      </rPr>
      <t xml:space="preserve"> (i.e., the 1.10 ratio of adjusted net benefits to allocated costs) </t>
    </r>
    <r>
      <rPr>
        <sz val="11"/>
        <color rgb="FFFF0000"/>
        <rFont val="Calibri"/>
        <family val="2"/>
        <scheme val="minor"/>
      </rPr>
      <t>until either all costs are allocated or there are no Beneficiaries above the 1.10 benefit-cost threshold.</t>
    </r>
    <r>
      <rPr>
        <sz val="11"/>
        <color theme="1"/>
        <rFont val="Calibri"/>
        <family val="2"/>
        <scheme val="minor"/>
      </rPr>
      <t xml:space="preserve">  The Applicant may voluntarily accept any remaining project costs.  Otherwise, if the thresholds prevent all costs from being reallocated among Beneficiaries and the unallocated costs are not accepted by the Applicant, the project is no longer eligible for cost allocation.</t>
    </r>
  </si>
  <si>
    <t>Number</t>
  </si>
  <si>
    <t>Rato &lt;= 1.10</t>
  </si>
  <si>
    <t>TERMINATE ALLOCATION?</t>
  </si>
  <si>
    <t>Remaining Costs</t>
  </si>
  <si>
    <t>Regional cost allocation process designed from the Attachment K process.</t>
  </si>
  <si>
    <t>Proportion benefit distribution</t>
  </si>
  <si>
    <t>Cost Allocation Committee Allocation of Cost Pursuant to Beneficiaries</t>
  </si>
  <si>
    <t>Benefit</t>
  </si>
  <si>
    <t>Generation</t>
  </si>
  <si>
    <t>CAC Scenario A</t>
  </si>
  <si>
    <t>CAC Scenario B</t>
  </si>
  <si>
    <t>CAC Scenario C</t>
  </si>
  <si>
    <t>CAC Scenario D</t>
  </si>
  <si>
    <t>Capital Cost Portional Allocation</t>
  </si>
  <si>
    <t xml:space="preserve"> </t>
  </si>
  <si>
    <t>Transmission Service Provider</t>
  </si>
  <si>
    <t>Annual Benefits Adjusted Net Benefit per Criterion a and b</t>
  </si>
  <si>
    <t>TPV Benefits Adjusted Net Benefit per Criterion a and b</t>
  </si>
  <si>
    <t>Annual Benefits</t>
  </si>
  <si>
    <t>CAC Summer Scenario A</t>
  </si>
  <si>
    <t>CAC Summer Scenario B</t>
  </si>
  <si>
    <t>CAC Summer Scenario C</t>
  </si>
  <si>
    <t>CAC Summer Scenario D</t>
  </si>
  <si>
    <t>Ratio of Adjusted Net Benefits</t>
  </si>
  <si>
    <t>Planning Input Data Highlighted in Gray</t>
  </si>
  <si>
    <t>Planning Committee Benefit and Beneficiary Data</t>
  </si>
  <si>
    <t>Annual Data</t>
  </si>
  <si>
    <t>2014 $</t>
  </si>
  <si>
    <t>Initial Benefit</t>
  </si>
  <si>
    <t>Alternative Project</t>
  </si>
  <si>
    <t>MW</t>
  </si>
  <si>
    <t>New Q4 Gen</t>
  </si>
  <si>
    <t>Q6 DFRTP</t>
  </si>
  <si>
    <t>Percent</t>
  </si>
  <si>
    <t>Levelized Fixed Charge Rate (40 yr, 7.31%) =</t>
  </si>
  <si>
    <t>Q1 2014$</t>
  </si>
  <si>
    <t>Total</t>
  </si>
  <si>
    <t>IRTP</t>
  </si>
  <si>
    <t>Inc Q6 Gen &amp; Ld</t>
  </si>
  <si>
    <t>Pct</t>
  </si>
  <si>
    <t>Cap Cost 2014$</t>
  </si>
  <si>
    <t>Fixed Charge Rate</t>
  </si>
  <si>
    <t>Capital Cost Benefit</t>
  </si>
  <si>
    <t>Capital Cost Benficiaries</t>
  </si>
  <si>
    <t>Total Benefit</t>
  </si>
  <si>
    <t>Levelized Benefit</t>
  </si>
  <si>
    <t>Q4 Alt Proj Cost</t>
  </si>
  <si>
    <t>Q6 Alt Proj Cost</t>
  </si>
  <si>
    <t>Q1 IRTP Cost</t>
  </si>
  <si>
    <t>Data for Graph</t>
  </si>
  <si>
    <t>Allocated Costs</t>
  </si>
  <si>
    <t>Years</t>
  </si>
  <si>
    <t>Weighted Cost of Capital</t>
  </si>
  <si>
    <t>Q6 Incremental PAC BAA LSEs Load</t>
  </si>
  <si>
    <t>Reserve Metric</t>
  </si>
  <si>
    <t>Initial Benefits</t>
  </si>
  <si>
    <t>Third - Calculate the  Capital Related Cost Metric</t>
  </si>
  <si>
    <t xml:space="preserve">Annual Loss Metric Benefit </t>
  </si>
  <si>
    <t xml:space="preserve">Annual Reserve Metric Benefit </t>
  </si>
  <si>
    <t>Loss Metric</t>
  </si>
  <si>
    <t>Capital Cost Metric</t>
  </si>
  <si>
    <t>Savings (Benefit)</t>
  </si>
  <si>
    <t>Allocate Class Benefit to Beneficiaries</t>
  </si>
  <si>
    <t>Q6 2014$</t>
  </si>
  <si>
    <t>Loss Benefit</t>
  </si>
  <si>
    <r>
      <t xml:space="preserve">Allocated costs lesser of </t>
    </r>
    <r>
      <rPr>
        <sz val="11"/>
        <color rgb="FFFF0000"/>
        <rFont val="Calibri"/>
        <family val="2"/>
        <scheme val="minor"/>
      </rPr>
      <t>A</t>
    </r>
    <r>
      <rPr>
        <sz val="11"/>
        <color theme="1"/>
        <rFont val="Calibri"/>
        <family val="2"/>
        <scheme val="minor"/>
      </rPr>
      <t xml:space="preserve"> or</t>
    </r>
    <r>
      <rPr>
        <sz val="11"/>
        <color rgb="FFFF0000"/>
        <rFont val="Calibri"/>
        <family val="2"/>
        <scheme val="minor"/>
      </rPr>
      <t xml:space="preserve"> B</t>
    </r>
    <r>
      <rPr>
        <sz val="11"/>
        <rFont val="Calibri"/>
        <family val="2"/>
        <scheme val="minor"/>
      </rPr>
      <t xml:space="preserve"> above</t>
    </r>
  </si>
  <si>
    <t>Beneficiary</t>
  </si>
  <si>
    <t>Alternative Project Allocated Costs</t>
  </si>
  <si>
    <t>Loss Beneficiaries</t>
  </si>
  <si>
    <t>Capital Cost Beneficiaries</t>
  </si>
  <si>
    <t>NA</t>
  </si>
  <si>
    <t>Average</t>
  </si>
  <si>
    <t>Average Benefits</t>
  </si>
  <si>
    <t>TPV of Average Benefits</t>
  </si>
  <si>
    <t>Beneficiary Allocation of Alternative Project Capital Cost</t>
  </si>
  <si>
    <t>Capital Cost 2014$</t>
  </si>
  <si>
    <t>INITIAL BENEFITS AND BENEFICIARIES SECTION</t>
  </si>
  <si>
    <t>CALCULATING BENEFIT AND BENEFICIARY SECTION</t>
  </si>
  <si>
    <t>CAPITAL COST SECTION</t>
  </si>
  <si>
    <t>Non-Committed Projects</t>
  </si>
  <si>
    <t xml:space="preserve"> Allocation Total  Benefit to Beneficiary Classes</t>
  </si>
  <si>
    <t>Allocation Scenarios</t>
  </si>
  <si>
    <t>Capital Cost + Loss + Reserve Benefits</t>
  </si>
  <si>
    <t>Allocation</t>
  </si>
  <si>
    <t>Q6 Total</t>
  </si>
  <si>
    <t>Q6 Incremental WY Gen (Existing)</t>
  </si>
  <si>
    <t>Q6 WY Wind (New)</t>
  </si>
  <si>
    <t>Q1 IRTP Updated</t>
  </si>
  <si>
    <t>Exist WY Gen</t>
  </si>
  <si>
    <t>New WY Wind</t>
  </si>
  <si>
    <t>Q6 Incrmental PAC BAA LSEs</t>
  </si>
  <si>
    <t>Levelized Capital Related Cost Beneficiaries</t>
  </si>
  <si>
    <t>A or B Applied</t>
  </si>
  <si>
    <t>The Applicant may voluntary accept remaining project costs of $985,771,652.  If the Applicant does not accept remaining costs the project is no longer eligible for cost allocation.</t>
  </si>
  <si>
    <t>DFRTP Beneficiaries</t>
  </si>
  <si>
    <t>DFRTP Benefit</t>
  </si>
  <si>
    <t>Change DFRTP MW by -313MW</t>
  </si>
  <si>
    <t>Change DFRTP MW by 485MW</t>
  </si>
  <si>
    <t xml:space="preserve"> Prorated Allocation Based on MW</t>
  </si>
  <si>
    <t>Non-Committed DFRTP</t>
  </si>
  <si>
    <t>Non-Committed Proj No Cost Alloc</t>
  </si>
  <si>
    <t>Non-Commited w/Cost Alloc</t>
  </si>
  <si>
    <t>Note</t>
  </si>
  <si>
    <r>
      <t>2.</t>
    </r>
    <r>
      <rPr>
        <sz val="7"/>
        <color theme="1"/>
        <rFont val="Times New Roman"/>
        <family val="1"/>
      </rPr>
      <t xml:space="preserve">    </t>
    </r>
    <r>
      <rPr>
        <sz val="11"/>
        <color theme="1"/>
        <rFont val="Calibri"/>
        <family val="2"/>
        <scheme val="minor"/>
      </rPr>
      <t xml:space="preserve">Each Beneficiary that is allocated a portion of a project's cost is assumed to receive a corresponding quantity of Ownership Rights or Ownership Like Rights in the project in order to realize the benefits that are assumed to be derived by the project. </t>
    </r>
  </si>
  <si>
    <r>
      <t>3.</t>
    </r>
    <r>
      <rPr>
        <sz val="7"/>
        <color theme="1"/>
        <rFont val="Times New Roman"/>
        <family val="1"/>
      </rPr>
      <t xml:space="preserve">    </t>
    </r>
    <r>
      <rPr>
        <sz val="11"/>
        <color theme="1"/>
        <rFont val="Calibri"/>
        <family val="2"/>
        <scheme val="minor"/>
      </rPr>
      <t>The allocation of benefits to a Beneficiary is not intended to prejudice in any way the characterization of the costs or the further allocation of the costs by the Beneficiary as may be proscribed or allowed by Federal law, FERC order, or applicable law.</t>
    </r>
  </si>
  <si>
    <r>
      <t xml:space="preserve">1.  </t>
    </r>
    <r>
      <rPr>
        <sz val="7"/>
        <color theme="1"/>
        <rFont val="Times New Roman"/>
        <family val="1"/>
      </rPr>
      <t xml:space="preserve"> </t>
    </r>
    <r>
      <rPr>
        <sz val="11"/>
        <color theme="1"/>
        <rFont val="Calibri"/>
        <family val="2"/>
        <scheme val="minor"/>
      </rPr>
      <t>The identification of Beneficiaries of a project, the dollar amount of benefits allocated to each Beneficiary, and the timing of those benefits are based upon the assumptions built into the models used to produce the allocations.  Actuals may vary from assumptions substantially.</t>
    </r>
  </si>
  <si>
    <t>1.   The identification of Beneficiaries of a project, the dollar amount of benefits allocated to each Beneficiary, and the timing of those benefits are based upon the assumptions built into the models used to produce the allocations.  Actuals may vary from assumptions substantially.</t>
  </si>
  <si>
    <t>3.    The allocation of benefits to a Beneficiary is not intended to prejudice in any way the characterization of the costs or the further allocation of the costs by the Beneficiary as may be proscribed or allowed by Federal law, FERC order, or applicable law.</t>
  </si>
  <si>
    <t>IRP</t>
  </si>
  <si>
    <t xml:space="preserve">Non-Committed IRP Projects </t>
  </si>
  <si>
    <t>Difference From IRP</t>
  </si>
  <si>
    <t>IRP Q5 Updated</t>
  </si>
  <si>
    <t>IRP Q5 Updated Summer Scenario A</t>
  </si>
  <si>
    <t>IRP Q5 Updated Summer Scenario B</t>
  </si>
  <si>
    <t>IRP Q5 Updated Summer Scenario C</t>
  </si>
  <si>
    <t>IRP Q5 Updated Summer Scenario D</t>
  </si>
  <si>
    <t>IRP Q5 Updated - DFRTP</t>
  </si>
  <si>
    <t>IRP Q5 Updated - CAC Scenario A</t>
  </si>
  <si>
    <t>IRP Q5 Updated - CAC Scenario B</t>
  </si>
  <si>
    <t>IRP Q5 Updated - CAC Scenario C</t>
  </si>
  <si>
    <t>IRP Q5 Updated - CAC Scenario D</t>
  </si>
  <si>
    <t>Had the Alternative Project been a Sponsored Project or submitted by a stakeholder (each an “Applicant”), the Applicant could voluntarily accept the remaining project costs of $985,771,652.  If the Applicant did not accept remaining costs, the project was no longer eligible for cost allocation.                                                                                                                                                    In this case, since the Alternative Project is an unsponsored project identified by the Planning Committee, there is not an Applicant to accept the remaining costs of the project.   As a result, since all project cots cannot be allocated to Beneficiaries, the Alternative Project is not eligible for cost allocation</t>
  </si>
  <si>
    <t>CASE LOSSES</t>
  </si>
  <si>
    <t>Transmission Losses (MW)</t>
  </si>
  <si>
    <t>Annualized Losses (MWh)</t>
  </si>
  <si>
    <t>Annualized Monetized Losses ($)</t>
  </si>
  <si>
    <t>CASE</t>
  </si>
  <si>
    <t>PGE  Loss (MW)</t>
  </si>
  <si>
    <t>PACW Loss (MW)</t>
  </si>
  <si>
    <t>PACE Loss (MW)</t>
  </si>
  <si>
    <t>IPC Loss (MW)</t>
  </si>
  <si>
    <t>MT Loss (MW)</t>
  </si>
  <si>
    <t>Total Loss (MW)</t>
  </si>
  <si>
    <t>PGE Loss (MWh)</t>
  </si>
  <si>
    <t>PACW Loss (MWh)</t>
  </si>
  <si>
    <t>PACE Loss (MWh)</t>
  </si>
  <si>
    <t>IPC Loss (MWh)</t>
  </si>
  <si>
    <t>MT Loss (MWh)</t>
  </si>
  <si>
    <t>Total Loss (MWh)</t>
  </si>
  <si>
    <t>PGE Loss ($)</t>
  </si>
  <si>
    <t>PACW Loss($)</t>
  </si>
  <si>
    <t>PACE Loss($)</t>
  </si>
  <si>
    <t>IPC Loss ($)</t>
  </si>
  <si>
    <t>MT Loss ($)</t>
  </si>
  <si>
    <t>Total Loss ($)</t>
  </si>
  <si>
    <t>PAC TOTAL</t>
  </si>
  <si>
    <t>DFRTP Summer</t>
  </si>
  <si>
    <t>Diff</t>
  </si>
  <si>
    <t>DFRTP Summer Scenario A +1000 MW Load</t>
  </si>
  <si>
    <t>DFRTP Summer Scenario B -1000 MW Load</t>
  </si>
  <si>
    <t>DFRTP Summer Scenario C repl 800 MW wind w/ solar</t>
  </si>
  <si>
    <t>DFRTP Summer Scenario D repl 1000 MW coal w/ wind, solar</t>
  </si>
  <si>
    <t>DFRTP Export</t>
  </si>
  <si>
    <t>DFRTP Winter</t>
  </si>
  <si>
    <t>DFTRP Average Loss</t>
  </si>
  <si>
    <t>Convert monetized loss numbers from IPC to 2014$ from 2024$</t>
  </si>
  <si>
    <t>INPUT Monitized Losses Received from IPC</t>
  </si>
  <si>
    <t>2024$</t>
  </si>
  <si>
    <t>Convert from 2024$ to 2014$</t>
  </si>
  <si>
    <t>USE THESE VALUES IN THE CAC Scenario Workbook</t>
  </si>
  <si>
    <t>2014$</t>
  </si>
  <si>
    <t>Diff - A</t>
  </si>
  <si>
    <t>Diff - B</t>
  </si>
  <si>
    <t>Diff - C</t>
  </si>
  <si>
    <t>Diff - D</t>
  </si>
  <si>
    <t>adj IRP</t>
  </si>
  <si>
    <t>Adj. IRP Summer</t>
  </si>
  <si>
    <t>Adj. IRP Summer Scenario A +1000 MW Load</t>
  </si>
  <si>
    <t>Adj. IRP Summer Scenario B -1000 MW Load</t>
  </si>
  <si>
    <t>Adj. IRP Summer Scenario C repl 800 MW wind w/ solar</t>
  </si>
  <si>
    <t>Adj. IRP Summer Scenario D repl 1000 MW coal w/ wind, solar</t>
  </si>
  <si>
    <t>Adj. IRP Export</t>
  </si>
  <si>
    <t>Adj. IRP Winter</t>
  </si>
  <si>
    <t>Adj. IRP  Average Loss</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</si>
</sst>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5" formatCode="&quot;$&quot;#,##0_);\(&quot;$&quot;#,##0\)"/>
    <numFmt numFmtId="6" formatCode="&quot;$&quot;#,##0_);[Red]\(&quot;$&quot;#,##0\)"/>
    <numFmt numFmtId="7" formatCode="&quot;$&quot;#,##0.00_);\(&quot;$&quot;#,##0.00\)"/>
    <numFmt numFmtId="43" formatCode="_(* #,##0.00_);_(* \(#,##0.00\);_(* &quot;-&quot;??_);_(@_)"/>
    <numFmt numFmtId="164" formatCode="&quot;$&quot;#,##0"/>
    <numFmt numFmtId="165" formatCode="0.000%"/>
    <numFmt numFmtId="166" formatCode="0.0%"/>
    <numFmt numFmtId="167" formatCode="0.0"/>
    <numFmt numFmtId="168" formatCode="&quot;$&quot;#,##0.00"/>
    <numFmt numFmtId="169" formatCode="&quot;$&quot;#,##0.0"/>
    <numFmt numFmtId="170" formatCode="0.0000"/>
  </numFmts>
  <fonts count="31" x14ac:knownFonts="1">
    <font>
      <sz val="11"/>
      <color theme="1"/>
      <name val="Calibri"/>
      <family val="2"/>
      <scheme val="minor"/>
    </font>
    <font>
      <u/>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sz val="10"/>
      <color theme="1"/>
      <name val="Calibri"/>
      <family val="2"/>
      <scheme val="minor"/>
    </font>
    <font>
      <sz val="14"/>
      <color theme="1"/>
      <name val="Calibri"/>
      <family val="2"/>
      <scheme val="minor"/>
    </font>
    <font>
      <sz val="11"/>
      <color rgb="FF0070C0"/>
      <name val="Calibri"/>
      <family val="2"/>
      <scheme val="minor"/>
    </font>
    <font>
      <sz val="8"/>
      <color theme="1"/>
      <name val="Calibri"/>
      <family val="2"/>
      <scheme val="minor"/>
    </font>
    <font>
      <b/>
      <sz val="12"/>
      <name val="Calibri"/>
      <family val="2"/>
      <scheme val="minor"/>
    </font>
    <font>
      <b/>
      <sz val="11"/>
      <name val="Calibri"/>
      <family val="2"/>
      <scheme val="minor"/>
    </font>
    <font>
      <sz val="10"/>
      <name val="Calibri"/>
      <family val="2"/>
      <scheme val="minor"/>
    </font>
    <font>
      <b/>
      <sz val="14"/>
      <name val="Calibri"/>
      <family val="2"/>
      <scheme val="minor"/>
    </font>
    <font>
      <sz val="8"/>
      <name val="Calibri"/>
      <family val="2"/>
      <scheme val="minor"/>
    </font>
    <font>
      <u/>
      <sz val="11"/>
      <name val="Calibri"/>
      <family val="2"/>
      <scheme val="minor"/>
    </font>
    <font>
      <b/>
      <sz val="8"/>
      <name val="Calibri"/>
      <family val="2"/>
      <scheme val="minor"/>
    </font>
    <font>
      <sz val="9"/>
      <name val="Calibri"/>
      <family val="2"/>
      <scheme val="minor"/>
    </font>
    <font>
      <b/>
      <sz val="14"/>
      <color theme="1"/>
      <name val="Calibri"/>
      <family val="2"/>
      <scheme val="minor"/>
    </font>
    <font>
      <b/>
      <sz val="11"/>
      <color theme="4" tint="-0.249977111117893"/>
      <name val="Calibri"/>
      <family val="2"/>
      <scheme val="minor"/>
    </font>
    <font>
      <b/>
      <u/>
      <sz val="11"/>
      <color theme="1"/>
      <name val="Calibri"/>
      <family val="2"/>
      <scheme val="minor"/>
    </font>
    <font>
      <b/>
      <u/>
      <sz val="11"/>
      <name val="Calibri"/>
      <family val="2"/>
      <scheme val="minor"/>
    </font>
    <font>
      <sz val="12"/>
      <color theme="1"/>
      <name val="Calibri"/>
      <family val="2"/>
      <scheme val="minor"/>
    </font>
    <font>
      <sz val="11"/>
      <color theme="1"/>
      <name val="Calibri"/>
      <family val="2"/>
    </font>
    <font>
      <sz val="9"/>
      <color theme="1"/>
      <name val="Calibri"/>
      <family val="2"/>
      <scheme val="minor"/>
    </font>
    <font>
      <b/>
      <sz val="10"/>
      <name val="Calibri"/>
      <family val="2"/>
      <scheme val="minor"/>
    </font>
    <font>
      <sz val="7"/>
      <color theme="1"/>
      <name val="Times New Roman"/>
      <family val="1"/>
    </font>
    <font>
      <sz val="14"/>
      <color rgb="FF000000"/>
      <name val="Calibri"/>
      <family val="2"/>
      <scheme val="minor"/>
    </font>
    <font>
      <sz val="11"/>
      <color rgb="FF000000"/>
      <name val="Calibri"/>
      <family val="2"/>
      <scheme val="minor"/>
    </font>
    <font>
      <i/>
      <sz val="11"/>
      <color theme="1"/>
      <name val="Calibri"/>
      <family val="2"/>
      <scheme val="minor"/>
    </font>
    <font>
      <b/>
      <sz val="11"/>
      <color rgb="FFFF0000"/>
      <name val="Calibri"/>
      <family val="2"/>
      <scheme val="minor"/>
    </font>
  </fonts>
  <fills count="14">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8"/>
        <bgColor indexed="64"/>
      </patternFill>
    </fill>
    <fill>
      <patternFill patternType="solid">
        <fgColor theme="9"/>
        <bgColor indexed="64"/>
      </patternFill>
    </fill>
    <fill>
      <patternFill patternType="solid">
        <fgColor theme="2"/>
        <bgColor indexed="64"/>
      </patternFill>
    </fill>
    <fill>
      <patternFill patternType="solid">
        <fgColor theme="8" tint="0.5999938962981048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dotted">
        <color auto="1"/>
      </bottom>
      <diagonal/>
    </border>
    <border>
      <left/>
      <right/>
      <top style="dotted">
        <color auto="1"/>
      </top>
      <bottom style="dotted">
        <color auto="1"/>
      </bottom>
      <diagonal/>
    </border>
    <border>
      <left/>
      <right/>
      <top style="dotted">
        <color auto="1"/>
      </top>
      <bottom/>
      <diagonal/>
    </border>
  </borders>
  <cellStyleXfs count="3">
    <xf numFmtId="0" fontId="0" fillId="0" borderId="0"/>
    <xf numFmtId="9" fontId="2" fillId="0" borderId="0" applyFont="0" applyFill="0" applyBorder="0" applyAlignment="0" applyProtection="0"/>
    <xf numFmtId="43" fontId="2" fillId="0" borderId="0" applyFont="0" applyFill="0" applyBorder="0" applyAlignment="0" applyProtection="0"/>
  </cellStyleXfs>
  <cellXfs count="645">
    <xf numFmtId="0" fontId="0" fillId="0" borderId="0" xfId="0"/>
    <xf numFmtId="0" fontId="0" fillId="0" borderId="0" xfId="0" applyAlignment="1"/>
    <xf numFmtId="0" fontId="0" fillId="0" borderId="0" xfId="0" applyAlignment="1">
      <alignment horizontal="right"/>
    </xf>
    <xf numFmtId="0" fontId="0" fillId="0" borderId="0" xfId="0" applyAlignment="1">
      <alignment vertical="center"/>
    </xf>
    <xf numFmtId="0" fontId="0" fillId="0" borderId="0" xfId="0" applyBorder="1" applyAlignment="1">
      <alignment horizontal="center"/>
    </xf>
    <xf numFmtId="164" fontId="0" fillId="0" borderId="0" xfId="0" applyNumberFormat="1"/>
    <xf numFmtId="164" fontId="0" fillId="0" borderId="0" xfId="0" applyNumberFormat="1" applyAlignment="1">
      <alignment horizontal="right"/>
    </xf>
    <xf numFmtId="0" fontId="0" fillId="0" borderId="0" xfId="0" applyAlignment="1">
      <alignment horizontal="center" vertical="center"/>
    </xf>
    <xf numFmtId="6" fontId="0" fillId="0" borderId="0" xfId="0" applyNumberFormat="1" applyAlignment="1">
      <alignment horizontal="center"/>
    </xf>
    <xf numFmtId="6" fontId="0" fillId="0" borderId="0" xfId="0" applyNumberFormat="1"/>
    <xf numFmtId="6" fontId="0" fillId="2" borderId="0" xfId="0" applyNumberFormat="1" applyFill="1" applyAlignment="1">
      <alignment horizontal="center"/>
    </xf>
    <xf numFmtId="2" fontId="0" fillId="0" borderId="0" xfId="0" applyNumberFormat="1" applyAlignment="1">
      <alignment horizontal="center"/>
    </xf>
    <xf numFmtId="0" fontId="0" fillId="0" borderId="0" xfId="0" applyAlignment="1">
      <alignment horizontal="center"/>
    </xf>
    <xf numFmtId="6" fontId="0" fillId="0" borderId="0" xfId="0" applyNumberFormat="1" applyAlignment="1">
      <alignment horizontal="center" vertical="center"/>
    </xf>
    <xf numFmtId="0" fontId="4" fillId="0" borderId="0" xfId="0" applyFont="1"/>
    <xf numFmtId="0" fontId="0" fillId="0" borderId="0" xfId="0" applyAlignment="1">
      <alignment horizontal="left" vertical="center"/>
    </xf>
    <xf numFmtId="0" fontId="0" fillId="0" borderId="0" xfId="0" applyAlignment="1">
      <alignment horizontal="right" indent="1"/>
    </xf>
    <xf numFmtId="0" fontId="0" fillId="2" borderId="0" xfId="0" applyFill="1"/>
    <xf numFmtId="0" fontId="0" fillId="2" borderId="0" xfId="0" applyFill="1" applyAlignment="1">
      <alignment horizontal="center"/>
    </xf>
    <xf numFmtId="0" fontId="0" fillId="2" borderId="0" xfId="0" applyFill="1" applyAlignment="1">
      <alignment horizontal="right"/>
    </xf>
    <xf numFmtId="6" fontId="0" fillId="0" borderId="1" xfId="0" applyNumberFormat="1" applyBorder="1" applyAlignment="1">
      <alignment horizontal="center"/>
    </xf>
    <xf numFmtId="6" fontId="0" fillId="0" borderId="0" xfId="0" applyNumberFormat="1" applyBorder="1"/>
    <xf numFmtId="0" fontId="4" fillId="0" borderId="0" xfId="0" applyFont="1" applyAlignment="1">
      <alignment horizontal="left" vertical="center"/>
    </xf>
    <xf numFmtId="6" fontId="0" fillId="0" borderId="0" xfId="0" applyNumberFormat="1" applyBorder="1" applyAlignment="1">
      <alignment horizontal="center"/>
    </xf>
    <xf numFmtId="0" fontId="0" fillId="0" borderId="0" xfId="0" applyAlignment="1">
      <alignment horizontal="center" vertical="center"/>
    </xf>
    <xf numFmtId="0" fontId="0" fillId="0" borderId="0" xfId="0" applyFill="1" applyBorder="1" applyAlignment="1">
      <alignment horizontal="center" vertical="center"/>
    </xf>
    <xf numFmtId="0" fontId="0" fillId="0" borderId="0" xfId="0" applyAlignment="1">
      <alignment horizontal="left" vertical="center"/>
    </xf>
    <xf numFmtId="0" fontId="0" fillId="0" borderId="0" xfId="0" applyAlignment="1">
      <alignment horizontal="left" vertical="center" wrapText="1"/>
    </xf>
    <xf numFmtId="0" fontId="0" fillId="0" borderId="0" xfId="0" applyAlignment="1">
      <alignment horizontal="center"/>
    </xf>
    <xf numFmtId="164" fontId="0" fillId="0" borderId="0" xfId="0" applyNumberFormat="1" applyBorder="1" applyAlignment="1">
      <alignment horizontal="center"/>
    </xf>
    <xf numFmtId="0" fontId="5" fillId="0" borderId="0" xfId="0" applyFont="1" applyAlignment="1">
      <alignment vertical="center" wrapText="1"/>
    </xf>
    <xf numFmtId="0" fontId="5" fillId="0" borderId="0" xfId="0" applyFont="1" applyAlignment="1">
      <alignment vertical="center"/>
    </xf>
    <xf numFmtId="0" fontId="5" fillId="0" borderId="0" xfId="0" applyFont="1" applyAlignment="1">
      <alignment horizontal="center" vertical="center"/>
    </xf>
    <xf numFmtId="0" fontId="5" fillId="0" borderId="0" xfId="0" applyFont="1" applyAlignment="1">
      <alignment horizontal="right" vertical="center" wrapText="1"/>
    </xf>
    <xf numFmtId="0" fontId="5" fillId="0" borderId="0" xfId="0" applyFont="1" applyAlignment="1">
      <alignment horizontal="center" vertical="center" wrapText="1"/>
    </xf>
    <xf numFmtId="0" fontId="5" fillId="0" borderId="0" xfId="0" applyFont="1" applyAlignment="1">
      <alignment horizontal="center" wrapText="1"/>
    </xf>
    <xf numFmtId="0" fontId="0" fillId="0" borderId="11" xfId="0" applyBorder="1" applyAlignment="1">
      <alignment horizontal="left" vertical="center"/>
    </xf>
    <xf numFmtId="0" fontId="5" fillId="0" borderId="0" xfId="0" applyFont="1" applyAlignment="1">
      <alignment horizontal="right" vertical="center"/>
    </xf>
    <xf numFmtId="164" fontId="0" fillId="0" borderId="0" xfId="0" applyNumberFormat="1" applyFill="1" applyBorder="1" applyAlignment="1">
      <alignment horizontal="center"/>
    </xf>
    <xf numFmtId="0" fontId="0" fillId="0" borderId="0" xfId="0" applyFill="1"/>
    <xf numFmtId="0" fontId="0" fillId="0" borderId="0" xfId="0" applyAlignment="1">
      <alignment vertical="top"/>
    </xf>
    <xf numFmtId="0" fontId="0" fillId="0" borderId="0" xfId="0" applyBorder="1" applyAlignment="1"/>
    <xf numFmtId="6" fontId="1" fillId="0" borderId="0" xfId="0" applyNumberFormat="1" applyFont="1" applyAlignment="1">
      <alignment horizontal="center" vertical="center"/>
    </xf>
    <xf numFmtId="0" fontId="0" fillId="0" borderId="9" xfId="0" applyFill="1" applyBorder="1" applyAlignment="1">
      <alignment horizontal="left" vertical="center"/>
    </xf>
    <xf numFmtId="0" fontId="5" fillId="0" borderId="8" xfId="0" applyFont="1" applyFill="1" applyBorder="1" applyAlignment="1">
      <alignment vertical="center" wrapText="1"/>
    </xf>
    <xf numFmtId="0" fontId="0" fillId="0" borderId="7" xfId="0" applyFill="1" applyBorder="1" applyAlignment="1">
      <alignment horizontal="left" vertical="center"/>
    </xf>
    <xf numFmtId="0" fontId="5" fillId="0" borderId="0" xfId="0" applyFont="1" applyFill="1" applyBorder="1" applyAlignment="1">
      <alignment vertical="center" wrapText="1"/>
    </xf>
    <xf numFmtId="0" fontId="5" fillId="0" borderId="11" xfId="0" applyFont="1" applyFill="1" applyBorder="1" applyAlignment="1">
      <alignment horizontal="center" vertical="center" wrapText="1"/>
    </xf>
    <xf numFmtId="6" fontId="0" fillId="0" borderId="0" xfId="0" applyNumberFormat="1" applyFill="1" applyBorder="1" applyAlignment="1">
      <alignment horizontal="center" vertical="center"/>
    </xf>
    <xf numFmtId="0" fontId="4" fillId="0" borderId="0" xfId="0" applyFont="1" applyAlignment="1">
      <alignment horizontal="left"/>
    </xf>
    <xf numFmtId="0" fontId="0" fillId="0" borderId="0" xfId="0" applyBorder="1" applyAlignment="1">
      <alignment horizontal="left" vertical="center" wrapText="1"/>
    </xf>
    <xf numFmtId="0" fontId="0" fillId="0" borderId="0" xfId="0" applyBorder="1"/>
    <xf numFmtId="49" fontId="0" fillId="0" borderId="0" xfId="0" applyNumberFormat="1"/>
    <xf numFmtId="0" fontId="0" fillId="0" borderId="7" xfId="0" applyBorder="1" applyAlignment="1">
      <alignment horizontal="right" vertical="top" indent="1"/>
    </xf>
    <xf numFmtId="0" fontId="0" fillId="0" borderId="12" xfId="0" applyBorder="1" applyAlignment="1">
      <alignment horizontal="right" vertical="top" indent="1"/>
    </xf>
    <xf numFmtId="0" fontId="0" fillId="0" borderId="2" xfId="0" applyBorder="1" applyAlignment="1">
      <alignment vertical="top"/>
    </xf>
    <xf numFmtId="0" fontId="0" fillId="0" borderId="13" xfId="0" applyBorder="1" applyAlignment="1">
      <alignment vertical="top"/>
    </xf>
    <xf numFmtId="6" fontId="5" fillId="3" borderId="1" xfId="0" applyNumberFormat="1" applyFont="1" applyFill="1" applyBorder="1" applyAlignment="1">
      <alignment vertical="center" wrapText="1"/>
    </xf>
    <xf numFmtId="6" fontId="0" fillId="3" borderId="0" xfId="0" applyNumberFormat="1" applyFill="1" applyAlignment="1">
      <alignment horizontal="center" vertical="center"/>
    </xf>
    <xf numFmtId="0" fontId="3" fillId="0" borderId="5" xfId="0" applyFont="1" applyBorder="1" applyAlignment="1">
      <alignment horizontal="left" vertical="center"/>
    </xf>
    <xf numFmtId="0" fontId="3" fillId="0" borderId="4" xfId="0" applyFont="1" applyBorder="1" applyAlignment="1">
      <alignment horizontal="left" vertical="center"/>
    </xf>
    <xf numFmtId="0" fontId="7" fillId="2" borderId="4" xfId="0" applyFont="1" applyFill="1" applyBorder="1"/>
    <xf numFmtId="0" fontId="0" fillId="2" borderId="6" xfId="0" applyFill="1" applyBorder="1"/>
    <xf numFmtId="0" fontId="0" fillId="2" borderId="5" xfId="0" applyFill="1" applyBorder="1"/>
    <xf numFmtId="0" fontId="0" fillId="0" borderId="0" xfId="0" applyFill="1" applyAlignment="1">
      <alignment horizontal="left" vertical="center"/>
    </xf>
    <xf numFmtId="0" fontId="5" fillId="0" borderId="0" xfId="0" applyFont="1" applyFill="1" applyAlignment="1">
      <alignment vertical="center"/>
    </xf>
    <xf numFmtId="0" fontId="5" fillId="0" borderId="0" xfId="0" applyFont="1" applyFill="1" applyAlignment="1">
      <alignment vertical="center" wrapText="1"/>
    </xf>
    <xf numFmtId="0" fontId="5" fillId="0" borderId="4" xfId="0" applyFont="1" applyFill="1" applyBorder="1" applyAlignment="1">
      <alignment horizontal="right"/>
    </xf>
    <xf numFmtId="0" fontId="5" fillId="0" borderId="6" xfId="0" applyFont="1" applyFill="1" applyBorder="1" applyAlignment="1">
      <alignment horizontal="center"/>
    </xf>
    <xf numFmtId="0" fontId="0" fillId="0" borderId="0" xfId="0" applyFill="1" applyBorder="1"/>
    <xf numFmtId="6" fontId="0" fillId="0" borderId="0" xfId="0" applyNumberFormat="1" applyFill="1" applyBorder="1" applyAlignment="1">
      <alignment horizontal="center"/>
    </xf>
    <xf numFmtId="0" fontId="0" fillId="0" borderId="0" xfId="0" applyFill="1" applyBorder="1" applyAlignment="1">
      <alignment horizontal="right"/>
    </xf>
    <xf numFmtId="6" fontId="0" fillId="0" borderId="0" xfId="0" applyNumberFormat="1" applyFill="1" applyBorder="1" applyAlignment="1">
      <alignment horizontal="right"/>
    </xf>
    <xf numFmtId="0" fontId="0" fillId="0" borderId="1" xfId="0" applyBorder="1" applyAlignment="1">
      <alignment horizontal="right"/>
    </xf>
    <xf numFmtId="0" fontId="3" fillId="0" borderId="0" xfId="0" applyNumberFormat="1" applyFont="1" applyBorder="1" applyAlignment="1">
      <alignment horizontal="left" vertical="top" wrapText="1"/>
    </xf>
    <xf numFmtId="6" fontId="5" fillId="0" borderId="0" xfId="0" applyNumberFormat="1" applyFont="1" applyBorder="1" applyAlignment="1">
      <alignment horizontal="center"/>
    </xf>
    <xf numFmtId="0" fontId="5" fillId="0" borderId="0" xfId="0" applyNumberFormat="1" applyFont="1" applyBorder="1" applyAlignment="1">
      <alignment horizontal="left" vertical="top" wrapText="1"/>
    </xf>
    <xf numFmtId="0" fontId="0" fillId="0" borderId="8" xfId="0" applyBorder="1" applyAlignment="1">
      <alignment horizontal="left" vertical="center" wrapText="1"/>
    </xf>
    <xf numFmtId="6" fontId="5" fillId="0" borderId="0" xfId="0" applyNumberFormat="1" applyFont="1" applyAlignment="1">
      <alignment horizontal="center"/>
    </xf>
    <xf numFmtId="6" fontId="0" fillId="2" borderId="5" xfId="0" applyNumberFormat="1" applyFill="1" applyBorder="1" applyAlignment="1">
      <alignment horizontal="center" vertical="center"/>
    </xf>
    <xf numFmtId="165" fontId="0" fillId="0" borderId="0" xfId="0" applyNumberFormat="1" applyAlignment="1">
      <alignment horizontal="center"/>
    </xf>
    <xf numFmtId="6" fontId="0" fillId="0" borderId="0" xfId="0" applyNumberFormat="1" applyBorder="1" applyAlignment="1">
      <alignment horizontal="center" vertical="center"/>
    </xf>
    <xf numFmtId="6" fontId="0" fillId="3" borderId="0" xfId="0" applyNumberFormat="1" applyFont="1" applyFill="1" applyAlignment="1">
      <alignment horizontal="center" vertical="center"/>
    </xf>
    <xf numFmtId="6" fontId="0" fillId="0" borderId="0" xfId="0" applyNumberFormat="1" applyFont="1" applyAlignment="1">
      <alignment horizontal="center" vertical="center"/>
    </xf>
    <xf numFmtId="0" fontId="0" fillId="0" borderId="16" xfId="0" applyBorder="1" applyAlignment="1">
      <alignment horizontal="center" vertical="center"/>
    </xf>
    <xf numFmtId="6" fontId="0" fillId="0" borderId="16" xfId="0" applyNumberFormat="1" applyBorder="1" applyAlignment="1">
      <alignment horizontal="center" vertical="center"/>
    </xf>
    <xf numFmtId="6" fontId="0" fillId="3" borderId="0" xfId="0" applyNumberFormat="1" applyFill="1" applyBorder="1" applyAlignment="1">
      <alignment horizontal="center" vertical="center"/>
    </xf>
    <xf numFmtId="0" fontId="5" fillId="0" borderId="16" xfId="0" applyFont="1" applyBorder="1" applyAlignment="1">
      <alignment horizontal="right" vertical="center" wrapText="1"/>
    </xf>
    <xf numFmtId="0" fontId="0" fillId="0" borderId="0" xfId="0" applyFill="1" applyAlignment="1">
      <alignment horizontal="right"/>
    </xf>
    <xf numFmtId="6" fontId="0" fillId="0" borderId="0" xfId="0" applyNumberFormat="1" applyFill="1" applyAlignment="1">
      <alignment horizontal="center"/>
    </xf>
    <xf numFmtId="6" fontId="5" fillId="5" borderId="0" xfId="0" applyNumberFormat="1" applyFont="1" applyFill="1" applyBorder="1" applyAlignment="1">
      <alignment horizontal="center"/>
    </xf>
    <xf numFmtId="164" fontId="10" fillId="5" borderId="4" xfId="0" applyNumberFormat="1" applyFont="1" applyFill="1" applyBorder="1"/>
    <xf numFmtId="6" fontId="5" fillId="0" borderId="0" xfId="0" applyNumberFormat="1" applyFont="1" applyFill="1" applyBorder="1" applyAlignment="1">
      <alignment horizontal="center"/>
    </xf>
    <xf numFmtId="0" fontId="0" fillId="0" borderId="0" xfId="0" applyBorder="1" applyAlignment="1">
      <alignment horizontal="right"/>
    </xf>
    <xf numFmtId="1" fontId="8" fillId="0" borderId="0" xfId="0" applyNumberFormat="1" applyFont="1" applyBorder="1" applyAlignment="1">
      <alignment horizontal="center"/>
    </xf>
    <xf numFmtId="0" fontId="0" fillId="0" borderId="3" xfId="0" applyBorder="1"/>
    <xf numFmtId="0" fontId="0" fillId="0" borderId="7" xfId="0" applyBorder="1" applyAlignment="1">
      <alignment horizontal="left" vertical="center"/>
    </xf>
    <xf numFmtId="0" fontId="0" fillId="0" borderId="12" xfId="0" applyBorder="1" applyAlignment="1">
      <alignment horizontal="left" vertical="center"/>
    </xf>
    <xf numFmtId="0" fontId="0" fillId="0" borderId="0" xfId="0" applyBorder="1" applyAlignment="1">
      <alignment vertical="center"/>
    </xf>
    <xf numFmtId="164" fontId="9" fillId="0" borderId="0" xfId="0" applyNumberFormat="1" applyFont="1" applyBorder="1"/>
    <xf numFmtId="6" fontId="9" fillId="0" borderId="0" xfId="0" applyNumberFormat="1" applyFont="1" applyBorder="1" applyAlignment="1">
      <alignment horizontal="right"/>
    </xf>
    <xf numFmtId="0" fontId="6" fillId="0" borderId="0" xfId="0" applyFont="1"/>
    <xf numFmtId="0" fontId="6" fillId="0" borderId="0" xfId="0" applyFont="1" applyFill="1"/>
    <xf numFmtId="0" fontId="6" fillId="0" borderId="0" xfId="0" applyFont="1" applyFill="1" applyAlignment="1">
      <alignment horizontal="center"/>
    </xf>
    <xf numFmtId="6" fontId="6" fillId="0" borderId="1" xfId="0" applyNumberFormat="1" applyFont="1" applyFill="1" applyBorder="1" applyAlignment="1">
      <alignment horizontal="center" vertical="center"/>
    </xf>
    <xf numFmtId="165" fontId="6" fillId="0" borderId="1" xfId="0" applyNumberFormat="1" applyFont="1" applyFill="1" applyBorder="1" applyAlignment="1">
      <alignment horizontal="center" vertical="center"/>
    </xf>
    <xf numFmtId="0" fontId="6" fillId="0" borderId="1" xfId="0" applyFont="1" applyFill="1" applyBorder="1" applyAlignment="1">
      <alignment horizontal="right" wrapText="1"/>
    </xf>
    <xf numFmtId="10"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164" fontId="5" fillId="0" borderId="0" xfId="0" applyNumberFormat="1" applyFont="1" applyAlignment="1">
      <alignment horizontal="right"/>
    </xf>
    <xf numFmtId="164" fontId="5" fillId="0" borderId="0" xfId="0" applyNumberFormat="1" applyFont="1" applyBorder="1" applyAlignment="1">
      <alignment horizontal="center"/>
    </xf>
    <xf numFmtId="6" fontId="0" fillId="0" borderId="0" xfId="0" applyNumberFormat="1" applyFont="1" applyBorder="1" applyAlignment="1">
      <alignment horizontal="right"/>
    </xf>
    <xf numFmtId="6" fontId="0" fillId="0" borderId="0" xfId="0" applyNumberFormat="1" applyAlignment="1">
      <alignment horizontal="right"/>
    </xf>
    <xf numFmtId="168" fontId="0" fillId="0" borderId="0" xfId="0" applyNumberFormat="1"/>
    <xf numFmtId="0" fontId="0" fillId="0" borderId="0" xfId="0" applyAlignment="1" applyProtection="1">
      <alignment horizontal="right"/>
    </xf>
    <xf numFmtId="0" fontId="3" fillId="0" borderId="0" xfId="0" applyFont="1"/>
    <xf numFmtId="3" fontId="0" fillId="0" borderId="1" xfId="0" applyNumberFormat="1" applyBorder="1" applyAlignment="1">
      <alignment horizontal="center"/>
    </xf>
    <xf numFmtId="3" fontId="0" fillId="5" borderId="1" xfId="0" applyNumberFormat="1" applyFill="1" applyBorder="1" applyAlignment="1">
      <alignment horizontal="center"/>
    </xf>
    <xf numFmtId="1" fontId="11" fillId="0" borderId="0" xfId="0" applyNumberFormat="1" applyFont="1" applyAlignment="1">
      <alignment horizontal="center"/>
    </xf>
    <xf numFmtId="1" fontId="5" fillId="0" borderId="0" xfId="0" applyNumberFormat="1" applyFont="1" applyAlignment="1">
      <alignment horizontal="center"/>
    </xf>
    <xf numFmtId="0" fontId="13" fillId="2" borderId="4" xfId="0" applyFont="1" applyFill="1" applyBorder="1"/>
    <xf numFmtId="164" fontId="5" fillId="2" borderId="5" xfId="0" applyNumberFormat="1" applyFont="1" applyFill="1" applyBorder="1"/>
    <xf numFmtId="164" fontId="5" fillId="2" borderId="6" xfId="0" applyNumberFormat="1" applyFont="1" applyFill="1" applyBorder="1" applyAlignment="1">
      <alignment horizontal="center"/>
    </xf>
    <xf numFmtId="164" fontId="5" fillId="0" borderId="0" xfId="0" applyNumberFormat="1" applyFont="1"/>
    <xf numFmtId="164" fontId="5" fillId="0" borderId="0" xfId="0" applyNumberFormat="1" applyFont="1" applyAlignment="1">
      <alignment horizontal="center"/>
    </xf>
    <xf numFmtId="2" fontId="5" fillId="0" borderId="0" xfId="0" applyNumberFormat="1" applyFont="1" applyAlignment="1">
      <alignment horizontal="center"/>
    </xf>
    <xf numFmtId="164" fontId="14" fillId="0" borderId="0" xfId="0" applyNumberFormat="1" applyFont="1"/>
    <xf numFmtId="164" fontId="5" fillId="5" borderId="5" xfId="0" applyNumberFormat="1" applyFont="1" applyFill="1" applyBorder="1"/>
    <xf numFmtId="164" fontId="5" fillId="5" borderId="6" xfId="0" applyNumberFormat="1" applyFont="1" applyFill="1" applyBorder="1" applyAlignment="1">
      <alignment horizontal="center"/>
    </xf>
    <xf numFmtId="1" fontId="11" fillId="0" borderId="0" xfId="0" applyNumberFormat="1" applyFont="1" applyAlignment="1">
      <alignment horizontal="left"/>
    </xf>
    <xf numFmtId="0" fontId="12" fillId="0" borderId="0" xfId="0" applyNumberFormat="1" applyFont="1" applyAlignment="1"/>
    <xf numFmtId="167" fontId="12" fillId="0" borderId="0" xfId="0" applyNumberFormat="1" applyFont="1" applyAlignment="1"/>
    <xf numFmtId="164" fontId="5" fillId="0" borderId="0" xfId="0" applyNumberFormat="1" applyFont="1" applyBorder="1" applyAlignment="1">
      <alignment horizontal="right"/>
    </xf>
    <xf numFmtId="166" fontId="5" fillId="0" borderId="0" xfId="1" applyNumberFormat="1" applyFont="1" applyAlignment="1">
      <alignment horizontal="center"/>
    </xf>
    <xf numFmtId="6" fontId="11" fillId="0" borderId="0" xfId="0" applyNumberFormat="1" applyFont="1" applyBorder="1" applyAlignment="1"/>
    <xf numFmtId="10" fontId="5" fillId="0" borderId="0" xfId="1" applyNumberFormat="1" applyFont="1" applyAlignment="1">
      <alignment horizontal="center"/>
    </xf>
    <xf numFmtId="0" fontId="5" fillId="0" borderId="0" xfId="0" applyNumberFormat="1" applyFont="1" applyAlignment="1">
      <alignment horizontal="center"/>
    </xf>
    <xf numFmtId="49" fontId="15" fillId="0" borderId="0" xfId="0" applyNumberFormat="1" applyFont="1" applyAlignment="1">
      <alignment horizontal="center"/>
    </xf>
    <xf numFmtId="164" fontId="15" fillId="0" borderId="0" xfId="0" applyNumberFormat="1" applyFont="1" applyAlignment="1">
      <alignment horizontal="center"/>
    </xf>
    <xf numFmtId="6" fontId="5" fillId="0" borderId="0" xfId="0" applyNumberFormat="1" applyFont="1"/>
    <xf numFmtId="39" fontId="5" fillId="0" borderId="0" xfId="2" applyNumberFormat="1" applyFont="1" applyAlignment="1">
      <alignment horizontal="center"/>
    </xf>
    <xf numFmtId="9" fontId="5" fillId="0" borderId="0" xfId="1" applyFont="1" applyAlignment="1">
      <alignment horizontal="center"/>
    </xf>
    <xf numFmtId="164" fontId="5" fillId="0" borderId="0" xfId="0" applyNumberFormat="1" applyFont="1" applyAlignment="1">
      <alignment horizontal="left"/>
    </xf>
    <xf numFmtId="164" fontId="5" fillId="0" borderId="0" xfId="0" applyNumberFormat="1" applyFont="1" applyBorder="1"/>
    <xf numFmtId="164" fontId="5" fillId="0" borderId="0" xfId="0" applyNumberFormat="1" applyFont="1" applyFill="1" applyBorder="1" applyAlignment="1">
      <alignment horizontal="center"/>
    </xf>
    <xf numFmtId="164" fontId="15" fillId="0" borderId="0" xfId="0" applyNumberFormat="1" applyFont="1" applyFill="1" applyBorder="1" applyAlignment="1">
      <alignment horizontal="center"/>
    </xf>
    <xf numFmtId="164" fontId="5" fillId="0" borderId="0" xfId="0" applyNumberFormat="1" applyFont="1" applyBorder="1" applyAlignment="1">
      <alignment horizontal="right" vertical="center"/>
    </xf>
    <xf numFmtId="6" fontId="14" fillId="0" borderId="0" xfId="0" applyNumberFormat="1" applyFont="1"/>
    <xf numFmtId="9" fontId="5" fillId="0" borderId="0" xfId="1" applyNumberFormat="1" applyFont="1" applyBorder="1" applyAlignment="1">
      <alignment horizontal="center"/>
    </xf>
    <xf numFmtId="6" fontId="5" fillId="0" borderId="0" xfId="0" applyNumberFormat="1" applyFont="1" applyBorder="1" applyAlignment="1"/>
    <xf numFmtId="164" fontId="5" fillId="0" borderId="0" xfId="0" applyNumberFormat="1" applyFont="1" applyFill="1" applyBorder="1" applyAlignment="1">
      <alignment horizontal="right" vertical="center"/>
    </xf>
    <xf numFmtId="9" fontId="5" fillId="5" borderId="0" xfId="1" applyFont="1" applyFill="1" applyBorder="1" applyAlignment="1">
      <alignment horizontal="center"/>
    </xf>
    <xf numFmtId="9" fontId="5" fillId="0" borderId="0" xfId="1" applyFont="1" applyBorder="1" applyAlignment="1">
      <alignment horizontal="center"/>
    </xf>
    <xf numFmtId="164" fontId="14" fillId="0" borderId="0" xfId="0" applyNumberFormat="1" applyFont="1" applyAlignment="1">
      <alignment horizontal="center"/>
    </xf>
    <xf numFmtId="39" fontId="14" fillId="0" borderId="0" xfId="2" applyNumberFormat="1" applyFont="1" applyAlignment="1">
      <alignment horizontal="center"/>
    </xf>
    <xf numFmtId="6" fontId="16" fillId="0" borderId="0" xfId="0" applyNumberFormat="1" applyFont="1"/>
    <xf numFmtId="6" fontId="15" fillId="0" borderId="0" xfId="0" applyNumberFormat="1" applyFont="1" applyAlignment="1">
      <alignment horizontal="center"/>
    </xf>
    <xf numFmtId="9" fontId="5" fillId="0" borderId="0" xfId="1" applyFont="1" applyFill="1" applyBorder="1" applyAlignment="1">
      <alignment horizontal="center"/>
    </xf>
    <xf numFmtId="164" fontId="5" fillId="0" borderId="0" xfId="0" applyNumberFormat="1" applyFont="1" applyAlignment="1">
      <alignment horizontal="center" vertical="center"/>
    </xf>
    <xf numFmtId="166" fontId="0" fillId="0" borderId="1" xfId="1" applyNumberFormat="1" applyFont="1" applyBorder="1" applyAlignment="1">
      <alignment horizontal="center"/>
    </xf>
    <xf numFmtId="6" fontId="5" fillId="0" borderId="0" xfId="0" applyNumberFormat="1" applyFont="1" applyFill="1" applyBorder="1" applyAlignment="1">
      <alignment vertical="center" wrapText="1"/>
    </xf>
    <xf numFmtId="6" fontId="5" fillId="3" borderId="0" xfId="0" applyNumberFormat="1" applyFont="1" applyFill="1" applyBorder="1" applyAlignment="1">
      <alignment vertical="center" wrapText="1"/>
    </xf>
    <xf numFmtId="9" fontId="0" fillId="0" borderId="0" xfId="0" applyNumberFormat="1" applyAlignment="1">
      <alignment horizontal="center"/>
    </xf>
    <xf numFmtId="3" fontId="0" fillId="0" borderId="0" xfId="0" applyNumberFormat="1" applyFill="1" applyBorder="1" applyAlignment="1">
      <alignment horizontal="center"/>
    </xf>
    <xf numFmtId="164" fontId="0" fillId="0" borderId="0" xfId="0" applyNumberFormat="1" applyFill="1" applyBorder="1"/>
    <xf numFmtId="0" fontId="0" fillId="0" borderId="14" xfId="0" applyBorder="1" applyAlignment="1">
      <alignment horizontal="right"/>
    </xf>
    <xf numFmtId="164" fontId="5" fillId="0" borderId="14" xfId="0" applyNumberFormat="1" applyFont="1" applyBorder="1" applyAlignment="1">
      <alignment horizontal="right"/>
    </xf>
    <xf numFmtId="164" fontId="5" fillId="0" borderId="1" xfId="0" applyNumberFormat="1" applyFont="1" applyBorder="1" applyAlignment="1">
      <alignment horizontal="right"/>
    </xf>
    <xf numFmtId="164" fontId="5" fillId="0" borderId="15" xfId="0" applyNumberFormat="1" applyFont="1" applyBorder="1" applyAlignment="1">
      <alignment horizontal="right"/>
    </xf>
    <xf numFmtId="6" fontId="0" fillId="0" borderId="0" xfId="0" applyNumberFormat="1" applyFont="1" applyAlignment="1">
      <alignment horizontal="center"/>
    </xf>
    <xf numFmtId="3" fontId="0" fillId="0" borderId="0" xfId="0" applyNumberFormat="1"/>
    <xf numFmtId="3" fontId="0" fillId="0" borderId="0" xfId="0" applyNumberFormat="1" applyAlignment="1">
      <alignment horizontal="center"/>
    </xf>
    <xf numFmtId="164" fontId="0" fillId="0" borderId="0" xfId="0" applyNumberFormat="1" applyBorder="1" applyAlignment="1">
      <alignment horizontal="right"/>
    </xf>
    <xf numFmtId="0" fontId="0" fillId="0" borderId="6" xfId="0" applyBorder="1" applyAlignment="1">
      <alignment horizontal="right"/>
    </xf>
    <xf numFmtId="6" fontId="5" fillId="0" borderId="0" xfId="0" applyNumberFormat="1" applyFont="1" applyAlignment="1">
      <alignment horizontal="right"/>
    </xf>
    <xf numFmtId="164" fontId="5" fillId="0" borderId="0" xfId="0" applyNumberFormat="1" applyFont="1" applyFill="1" applyBorder="1"/>
    <xf numFmtId="164" fontId="5" fillId="0" borderId="0" xfId="0" applyNumberFormat="1" applyFont="1" applyFill="1"/>
    <xf numFmtId="0" fontId="0" fillId="2" borderId="12" xfId="0" applyFill="1" applyBorder="1" applyAlignment="1">
      <alignment horizontal="left" vertical="center"/>
    </xf>
    <xf numFmtId="6" fontId="5" fillId="0" borderId="0" xfId="0" applyNumberFormat="1" applyFont="1" applyFill="1" applyBorder="1" applyAlignment="1">
      <alignment horizontal="center" vertical="center" wrapText="1"/>
    </xf>
    <xf numFmtId="0" fontId="5" fillId="0" borderId="8" xfId="0" applyFont="1" applyBorder="1" applyAlignment="1">
      <alignment vertical="center"/>
    </xf>
    <xf numFmtId="0" fontId="5" fillId="0" borderId="8" xfId="0" applyFont="1" applyBorder="1" applyAlignment="1">
      <alignment horizontal="center" vertical="center"/>
    </xf>
    <xf numFmtId="0" fontId="5" fillId="0" borderId="10" xfId="0" applyFont="1" applyBorder="1" applyAlignment="1">
      <alignment vertical="center"/>
    </xf>
    <xf numFmtId="0" fontId="5" fillId="2" borderId="4" xfId="0" applyFont="1" applyFill="1" applyBorder="1" applyAlignment="1">
      <alignment horizontal="center" vertical="center" wrapText="1"/>
    </xf>
    <xf numFmtId="6" fontId="5" fillId="2" borderId="5" xfId="0" applyNumberFormat="1" applyFont="1" applyFill="1" applyBorder="1" applyAlignment="1">
      <alignment horizontal="center" vertical="center" wrapText="1"/>
    </xf>
    <xf numFmtId="164" fontId="5" fillId="0" borderId="0" xfId="0" applyNumberFormat="1" applyFont="1" applyFill="1" applyAlignment="1">
      <alignment horizontal="center"/>
    </xf>
    <xf numFmtId="6" fontId="5" fillId="0" borderId="11" xfId="0" applyNumberFormat="1" applyFont="1" applyBorder="1" applyAlignment="1">
      <alignment vertical="center" wrapText="1"/>
    </xf>
    <xf numFmtId="6" fontId="5" fillId="0" borderId="3" xfId="0" applyNumberFormat="1" applyFont="1" applyBorder="1" applyAlignment="1">
      <alignment vertical="center" wrapText="1"/>
    </xf>
    <xf numFmtId="0" fontId="4" fillId="0" borderId="0" xfId="0" applyFont="1" applyFill="1"/>
    <xf numFmtId="0" fontId="0" fillId="0" borderId="0" xfId="0" applyFont="1" applyFill="1" applyAlignment="1">
      <alignment horizontal="left" vertical="center"/>
    </xf>
    <xf numFmtId="0" fontId="0" fillId="0" borderId="0" xfId="0" applyFont="1" applyFill="1" applyAlignment="1">
      <alignment horizontal="left" vertical="center" wrapText="1"/>
    </xf>
    <xf numFmtId="166" fontId="0" fillId="0" borderId="0" xfId="1" applyNumberFormat="1" applyFont="1" applyFill="1" applyAlignment="1">
      <alignment horizontal="center"/>
    </xf>
    <xf numFmtId="0" fontId="0" fillId="0" borderId="0" xfId="0" applyFill="1" applyAlignment="1">
      <alignment horizontal="center"/>
    </xf>
    <xf numFmtId="0" fontId="0" fillId="0" borderId="9" xfId="0" applyFill="1" applyBorder="1"/>
    <xf numFmtId="0" fontId="1" fillId="0" borderId="10" xfId="0" applyFont="1" applyFill="1" applyBorder="1" applyAlignment="1">
      <alignment horizontal="right"/>
    </xf>
    <xf numFmtId="0" fontId="0" fillId="0" borderId="12" xfId="0" applyFill="1" applyBorder="1" applyAlignment="1">
      <alignment horizontal="right"/>
    </xf>
    <xf numFmtId="6" fontId="6" fillId="0" borderId="13" xfId="0" applyNumberFormat="1" applyFont="1" applyFill="1" applyBorder="1" applyAlignment="1">
      <alignment horizontal="right"/>
    </xf>
    <xf numFmtId="1" fontId="0" fillId="0" borderId="0" xfId="0" applyNumberFormat="1" applyFill="1" applyAlignment="1">
      <alignment horizontal="center"/>
    </xf>
    <xf numFmtId="164" fontId="5" fillId="0" borderId="1" xfId="0" applyNumberFormat="1" applyFont="1" applyFill="1" applyBorder="1" applyAlignment="1">
      <alignment horizontal="center" vertical="center" wrapText="1"/>
    </xf>
    <xf numFmtId="6" fontId="0" fillId="0" borderId="0" xfId="0" applyNumberFormat="1" applyFont="1" applyFill="1" applyBorder="1" applyAlignment="1">
      <alignment horizontal="center"/>
    </xf>
    <xf numFmtId="164" fontId="0" fillId="0" borderId="0" xfId="0" applyNumberFormat="1" applyFill="1" applyBorder="1" applyAlignment="1">
      <alignment horizontal="center" vertical="center" wrapText="1"/>
    </xf>
    <xf numFmtId="9" fontId="0" fillId="0" borderId="0" xfId="1" applyFont="1" applyFill="1" applyBorder="1" applyAlignment="1">
      <alignment horizontal="center" vertical="center" wrapText="1"/>
    </xf>
    <xf numFmtId="6" fontId="0" fillId="0" borderId="0" xfId="0" applyNumberFormat="1" applyFill="1" applyBorder="1" applyAlignment="1">
      <alignment horizontal="center" vertical="center" wrapText="1"/>
    </xf>
    <xf numFmtId="0" fontId="13" fillId="0" borderId="5" xfId="0" applyFont="1" applyFill="1" applyBorder="1" applyAlignment="1">
      <alignment horizontal="center"/>
    </xf>
    <xf numFmtId="0" fontId="0" fillId="0" borderId="12" xfId="0" applyBorder="1" applyAlignment="1">
      <alignment horizontal="right"/>
    </xf>
    <xf numFmtId="6" fontId="0" fillId="0" borderId="12" xfId="0" applyNumberFormat="1" applyFill="1" applyBorder="1" applyAlignment="1">
      <alignment vertical="center" wrapText="1"/>
    </xf>
    <xf numFmtId="169" fontId="0" fillId="0" borderId="0" xfId="0" applyNumberFormat="1" applyBorder="1" applyAlignment="1"/>
    <xf numFmtId="164" fontId="5" fillId="0" borderId="0" xfId="0" applyNumberFormat="1" applyFont="1" applyFill="1" applyBorder="1" applyAlignment="1">
      <alignment horizontal="right"/>
    </xf>
    <xf numFmtId="164" fontId="17" fillId="0" borderId="0" xfId="0" applyNumberFormat="1" applyFont="1" applyBorder="1" applyAlignment="1">
      <alignment horizontal="right"/>
    </xf>
    <xf numFmtId="164" fontId="5" fillId="0" borderId="16" xfId="0" applyNumberFormat="1" applyFont="1" applyBorder="1" applyAlignment="1">
      <alignment horizontal="right"/>
    </xf>
    <xf numFmtId="164" fontId="5" fillId="0" borderId="16" xfId="0" applyNumberFormat="1" applyFont="1" applyBorder="1" applyAlignment="1">
      <alignment horizontal="center"/>
    </xf>
    <xf numFmtId="6" fontId="5" fillId="5" borderId="16" xfId="0" applyNumberFormat="1" applyFont="1" applyFill="1" applyBorder="1" applyAlignment="1">
      <alignment horizontal="center"/>
    </xf>
    <xf numFmtId="0" fontId="5" fillId="0" borderId="0" xfId="0" applyFont="1" applyBorder="1" applyAlignment="1">
      <alignment horizontal="right" vertical="center"/>
    </xf>
    <xf numFmtId="0" fontId="0" fillId="0" borderId="0" xfId="0" applyBorder="1" applyAlignment="1">
      <alignment horizontal="center" vertical="center"/>
    </xf>
    <xf numFmtId="6" fontId="5" fillId="3" borderId="0" xfId="0" applyNumberFormat="1" applyFont="1" applyFill="1" applyBorder="1" applyAlignment="1">
      <alignment horizontal="center" vertical="center" wrapText="1"/>
    </xf>
    <xf numFmtId="0" fontId="0" fillId="0" borderId="16" xfId="0" applyBorder="1" applyAlignment="1">
      <alignment horizontal="left" vertical="center"/>
    </xf>
    <xf numFmtId="6" fontId="0" fillId="3" borderId="16" xfId="0" applyNumberFormat="1" applyFill="1" applyBorder="1" applyAlignment="1">
      <alignment horizontal="center" vertical="center"/>
    </xf>
    <xf numFmtId="6" fontId="0" fillId="0" borderId="16" xfId="0" applyNumberFormat="1" applyFill="1" applyBorder="1" applyAlignment="1">
      <alignment horizontal="center" vertical="center"/>
    </xf>
    <xf numFmtId="0" fontId="0" fillId="0" borderId="17" xfId="0" applyBorder="1" applyAlignment="1">
      <alignment horizontal="right"/>
    </xf>
    <xf numFmtId="0" fontId="6" fillId="0" borderId="17" xfId="0" applyFont="1" applyBorder="1" applyAlignment="1">
      <alignment horizontal="center"/>
    </xf>
    <xf numFmtId="6" fontId="5" fillId="3" borderId="17" xfId="0" applyNumberFormat="1" applyFont="1" applyFill="1" applyBorder="1" applyAlignment="1">
      <alignment horizontal="center" vertical="center" wrapText="1"/>
    </xf>
    <xf numFmtId="6" fontId="5" fillId="0" borderId="17" xfId="0" applyNumberFormat="1" applyFont="1" applyFill="1" applyBorder="1" applyAlignment="1">
      <alignment horizontal="center" vertical="center" wrapText="1"/>
    </xf>
    <xf numFmtId="3" fontId="0" fillId="0" borderId="1" xfId="0" applyNumberFormat="1" applyFill="1" applyBorder="1" applyAlignment="1">
      <alignment horizontal="center"/>
    </xf>
    <xf numFmtId="6" fontId="0" fillId="0" borderId="11" xfId="0" applyNumberFormat="1" applyFont="1" applyBorder="1" applyAlignment="1">
      <alignment horizontal="center" vertical="center"/>
    </xf>
    <xf numFmtId="6" fontId="0" fillId="2" borderId="6" xfId="0" applyNumberFormat="1" applyFont="1" applyFill="1" applyBorder="1" applyAlignment="1">
      <alignment horizontal="center" vertical="center"/>
    </xf>
    <xf numFmtId="0" fontId="4" fillId="0" borderId="0" xfId="0" applyFont="1" applyAlignment="1"/>
    <xf numFmtId="0" fontId="4" fillId="0" borderId="0" xfId="0" applyFont="1" applyBorder="1" applyAlignment="1"/>
    <xf numFmtId="6" fontId="0" fillId="0" borderId="0" xfId="0" applyNumberFormat="1" applyFill="1" applyBorder="1" applyAlignment="1"/>
    <xf numFmtId="0" fontId="1" fillId="0" borderId="0" xfId="0" applyFont="1" applyAlignment="1">
      <alignment horizontal="right" vertical="top" indent="1"/>
    </xf>
    <xf numFmtId="6" fontId="0" fillId="0" borderId="2" xfId="0" applyNumberFormat="1" applyBorder="1" applyAlignment="1">
      <alignment horizontal="center"/>
    </xf>
    <xf numFmtId="0" fontId="0" fillId="0" borderId="15" xfId="0" applyBorder="1"/>
    <xf numFmtId="164" fontId="0" fillId="0" borderId="1" xfId="0" applyNumberFormat="1" applyBorder="1" applyAlignment="1">
      <alignment horizontal="right"/>
    </xf>
    <xf numFmtId="6" fontId="0" fillId="0" borderId="4" xfId="0" applyNumberFormat="1" applyBorder="1" applyAlignment="1">
      <alignment horizontal="center"/>
    </xf>
    <xf numFmtId="6" fontId="0" fillId="0" borderId="6" xfId="0" applyNumberFormat="1" applyFill="1" applyBorder="1" applyAlignment="1">
      <alignment horizontal="right"/>
    </xf>
    <xf numFmtId="6" fontId="0" fillId="0" borderId="16" xfId="0" applyNumberFormat="1" applyBorder="1" applyAlignment="1">
      <alignment horizontal="right" vertical="center"/>
    </xf>
    <xf numFmtId="6" fontId="0" fillId="0" borderId="18" xfId="0" applyNumberFormat="1" applyBorder="1" applyAlignment="1">
      <alignment horizontal="right" vertical="center"/>
    </xf>
    <xf numFmtId="6" fontId="0" fillId="0" borderId="0" xfId="0" applyNumberFormat="1" applyBorder="1" applyAlignment="1">
      <alignment horizontal="right" vertical="center"/>
    </xf>
    <xf numFmtId="2" fontId="0" fillId="0" borderId="0" xfId="0" applyNumberFormat="1" applyAlignment="1">
      <alignment horizontal="right"/>
    </xf>
    <xf numFmtId="0" fontId="0" fillId="0" borderId="1" xfId="0" applyBorder="1" applyAlignment="1" applyProtection="1">
      <alignment horizontal="right"/>
    </xf>
    <xf numFmtId="3" fontId="0" fillId="0" borderId="0" xfId="0" applyNumberFormat="1" applyBorder="1" applyAlignment="1">
      <alignment horizontal="center"/>
    </xf>
    <xf numFmtId="168" fontId="0" fillId="0" borderId="15" xfId="0" applyNumberFormat="1" applyBorder="1" applyAlignment="1">
      <alignment horizontal="right"/>
    </xf>
    <xf numFmtId="0" fontId="0" fillId="0" borderId="2" xfId="0" applyBorder="1" applyAlignment="1"/>
    <xf numFmtId="6" fontId="0" fillId="0" borderId="0" xfId="0" applyNumberFormat="1" applyFill="1" applyBorder="1" applyAlignment="1">
      <alignment horizontal="center"/>
    </xf>
    <xf numFmtId="6" fontId="5" fillId="0" borderId="6" xfId="0" applyNumberFormat="1" applyFont="1" applyFill="1" applyBorder="1" applyAlignment="1">
      <alignment horizontal="center"/>
    </xf>
    <xf numFmtId="9" fontId="0" fillId="0" borderId="0" xfId="0" applyNumberFormat="1" applyBorder="1" applyAlignment="1">
      <alignment horizontal="center"/>
    </xf>
    <xf numFmtId="0" fontId="19" fillId="0" borderId="0" xfId="0" applyFont="1"/>
    <xf numFmtId="164" fontId="19" fillId="0" borderId="0" xfId="0" applyNumberFormat="1" applyFont="1" applyAlignment="1">
      <alignment horizontal="left"/>
    </xf>
    <xf numFmtId="6" fontId="0" fillId="0" borderId="0" xfId="0" applyNumberFormat="1" applyFill="1" applyBorder="1" applyAlignment="1">
      <alignment horizontal="center"/>
    </xf>
    <xf numFmtId="164" fontId="10" fillId="0" borderId="0" xfId="0" applyNumberFormat="1" applyFont="1" applyFill="1" applyBorder="1"/>
    <xf numFmtId="164" fontId="11" fillId="0" borderId="0" xfId="0" applyNumberFormat="1" applyFont="1" applyFill="1"/>
    <xf numFmtId="164" fontId="5" fillId="0" borderId="0" xfId="0" applyNumberFormat="1" applyFont="1" applyFill="1" applyAlignment="1"/>
    <xf numFmtId="164" fontId="5" fillId="0" borderId="7" xfId="0" applyNumberFormat="1" applyFont="1" applyFill="1" applyBorder="1"/>
    <xf numFmtId="164" fontId="5" fillId="0" borderId="1" xfId="0" applyNumberFormat="1" applyFont="1" applyFill="1" applyBorder="1" applyAlignment="1">
      <alignment horizontal="right"/>
    </xf>
    <xf numFmtId="6" fontId="5" fillId="0" borderId="1" xfId="0" applyNumberFormat="1" applyFont="1" applyFill="1" applyBorder="1" applyAlignment="1">
      <alignment horizontal="center"/>
    </xf>
    <xf numFmtId="6" fontId="5" fillId="0" borderId="1" xfId="0" applyNumberFormat="1" applyFont="1" applyFill="1" applyBorder="1" applyAlignment="1">
      <alignment horizontal="right"/>
    </xf>
    <xf numFmtId="164" fontId="5" fillId="0" borderId="1" xfId="0" applyNumberFormat="1" applyFont="1" applyFill="1" applyBorder="1"/>
    <xf numFmtId="0" fontId="5" fillId="0" borderId="0" xfId="0" applyFont="1" applyBorder="1" applyAlignment="1">
      <alignment horizontal="center"/>
    </xf>
    <xf numFmtId="3" fontId="5" fillId="0" borderId="0" xfId="0" applyNumberFormat="1" applyFont="1" applyBorder="1" applyAlignment="1">
      <alignment horizontal="center"/>
    </xf>
    <xf numFmtId="164" fontId="5" fillId="4" borderId="0" xfId="0" applyNumberFormat="1" applyFont="1" applyFill="1" applyBorder="1" applyAlignment="1"/>
    <xf numFmtId="164" fontId="11" fillId="4" borderId="0" xfId="0" applyNumberFormat="1" applyFont="1" applyFill="1" applyBorder="1" applyAlignment="1"/>
    <xf numFmtId="164" fontId="11" fillId="0" borderId="0" xfId="0" applyNumberFormat="1" applyFont="1" applyFill="1" applyBorder="1" applyAlignment="1"/>
    <xf numFmtId="164" fontId="5" fillId="0" borderId="0" xfId="0" applyNumberFormat="1" applyFont="1" applyFill="1" applyBorder="1" applyAlignment="1"/>
    <xf numFmtId="164" fontId="5" fillId="0" borderId="2" xfId="0" applyNumberFormat="1" applyFont="1" applyFill="1" applyBorder="1" applyAlignment="1"/>
    <xf numFmtId="164" fontId="5" fillId="0" borderId="0" xfId="0" applyNumberFormat="1" applyFont="1" applyFill="1" applyBorder="1" applyAlignment="1">
      <alignment horizontal="center" vertical="center"/>
    </xf>
    <xf numFmtId="6" fontId="5" fillId="0" borderId="0" xfId="0" applyNumberFormat="1" applyFont="1" applyFill="1" applyBorder="1" applyAlignment="1">
      <alignment horizontal="center" vertical="center"/>
    </xf>
    <xf numFmtId="6" fontId="14" fillId="0" borderId="0" xfId="0" applyNumberFormat="1" applyFont="1" applyFill="1" applyBorder="1" applyAlignment="1">
      <alignment horizontal="center" vertical="center"/>
    </xf>
    <xf numFmtId="164" fontId="14" fillId="0" borderId="0" xfId="0" applyNumberFormat="1" applyFont="1" applyFill="1" applyBorder="1" applyAlignment="1">
      <alignment horizontal="center" vertical="center"/>
    </xf>
    <xf numFmtId="0" fontId="0" fillId="0" borderId="8" xfId="0" applyBorder="1" applyAlignment="1">
      <alignment horizontal="right"/>
    </xf>
    <xf numFmtId="166" fontId="5" fillId="5" borderId="0" xfId="1" applyNumberFormat="1" applyFont="1" applyFill="1" applyAlignment="1">
      <alignment horizontal="center" vertical="center"/>
    </xf>
    <xf numFmtId="1" fontId="5" fillId="5" borderId="0" xfId="0" applyNumberFormat="1" applyFont="1" applyFill="1" applyAlignment="1">
      <alignment horizontal="center" vertical="center"/>
    </xf>
    <xf numFmtId="10" fontId="5" fillId="5" borderId="0" xfId="1" applyNumberFormat="1" applyFont="1" applyFill="1" applyAlignment="1">
      <alignment horizontal="center" vertical="center"/>
    </xf>
    <xf numFmtId="164" fontId="14" fillId="0" borderId="0" xfId="0" applyNumberFormat="1" applyFont="1" applyFill="1"/>
    <xf numFmtId="6" fontId="15" fillId="0" borderId="0" xfId="0" applyNumberFormat="1" applyFont="1" applyBorder="1" applyAlignment="1">
      <alignment horizontal="center" vertical="center"/>
    </xf>
    <xf numFmtId="164" fontId="15" fillId="0" borderId="0" xfId="0" applyNumberFormat="1" applyFont="1" applyAlignment="1">
      <alignment horizontal="center" vertical="center"/>
    </xf>
    <xf numFmtId="164" fontId="15" fillId="0" borderId="0" xfId="0" applyNumberFormat="1" applyFont="1" applyAlignment="1">
      <alignment horizontal="left" vertical="center"/>
    </xf>
    <xf numFmtId="169" fontId="0" fillId="0" borderId="0" xfId="0" applyNumberFormat="1" applyFont="1" applyBorder="1" applyAlignment="1"/>
    <xf numFmtId="0" fontId="0" fillId="0" borderId="0" xfId="0" applyFont="1" applyBorder="1"/>
    <xf numFmtId="0" fontId="20" fillId="0" borderId="0" xfId="0" applyFont="1"/>
    <xf numFmtId="164" fontId="21" fillId="0" borderId="0" xfId="0" applyNumberFormat="1" applyFont="1" applyFill="1" applyAlignment="1"/>
    <xf numFmtId="0" fontId="0" fillId="0" borderId="1" xfId="0" applyBorder="1" applyAlignment="1">
      <alignment horizontal="center" vertical="center"/>
    </xf>
    <xf numFmtId="0" fontId="0" fillId="0" borderId="6" xfId="0" applyBorder="1" applyAlignment="1">
      <alignment horizontal="center" vertical="center"/>
    </xf>
    <xf numFmtId="164" fontId="0" fillId="0" borderId="1" xfId="0" applyNumberFormat="1" applyFont="1" applyBorder="1" applyAlignment="1">
      <alignment horizontal="center" vertical="center"/>
    </xf>
    <xf numFmtId="164" fontId="5" fillId="0" borderId="0" xfId="0" applyNumberFormat="1" applyFont="1" applyAlignment="1">
      <alignment horizontal="left" vertical="center"/>
    </xf>
    <xf numFmtId="6" fontId="0" fillId="0" borderId="6" xfId="0" applyNumberFormat="1" applyBorder="1" applyAlignment="1">
      <alignment horizontal="center" vertical="center"/>
    </xf>
    <xf numFmtId="164" fontId="0" fillId="0" borderId="1" xfId="0" applyNumberFormat="1" applyFill="1" applyBorder="1" applyAlignment="1">
      <alignment horizontal="center" vertical="center"/>
    </xf>
    <xf numFmtId="0" fontId="0" fillId="0" borderId="1" xfId="0" applyFill="1" applyBorder="1" applyAlignment="1">
      <alignment horizontal="right"/>
    </xf>
    <xf numFmtId="166" fontId="0" fillId="0" borderId="1" xfId="1" applyNumberFormat="1" applyFont="1" applyFill="1" applyBorder="1" applyAlignment="1">
      <alignment horizontal="center"/>
    </xf>
    <xf numFmtId="164" fontId="0" fillId="0" borderId="1" xfId="0" applyNumberFormat="1" applyFill="1" applyBorder="1" applyAlignment="1">
      <alignment horizontal="right"/>
    </xf>
    <xf numFmtId="9" fontId="0" fillId="0" borderId="1" xfId="0" applyNumberFormat="1" applyFill="1" applyBorder="1" applyAlignment="1">
      <alignment horizontal="center"/>
    </xf>
    <xf numFmtId="6" fontId="18" fillId="0" borderId="0" xfId="0" applyNumberFormat="1" applyFont="1" applyFill="1" applyBorder="1" applyAlignment="1">
      <alignment horizontal="right"/>
    </xf>
    <xf numFmtId="0" fontId="0" fillId="0" borderId="0" xfId="0" applyFont="1"/>
    <xf numFmtId="0" fontId="0" fillId="0" borderId="0" xfId="0" applyFont="1" applyFill="1" applyBorder="1"/>
    <xf numFmtId="6" fontId="0" fillId="0" borderId="0" xfId="0" applyNumberFormat="1" applyFont="1" applyFill="1" applyBorder="1" applyAlignment="1">
      <alignment horizontal="right"/>
    </xf>
    <xf numFmtId="6" fontId="4" fillId="0" borderId="0" xfId="0" applyNumberFormat="1" applyFont="1" applyFill="1" applyBorder="1" applyAlignment="1">
      <alignment horizontal="right"/>
    </xf>
    <xf numFmtId="0" fontId="4" fillId="0" borderId="0" xfId="0" applyFont="1" applyFill="1" applyBorder="1" applyAlignment="1">
      <alignment horizontal="left"/>
    </xf>
    <xf numFmtId="164" fontId="5" fillId="0" borderId="0" xfId="0" applyNumberFormat="1" applyFont="1" applyFill="1" applyBorder="1" applyAlignment="1">
      <alignment vertical="center"/>
    </xf>
    <xf numFmtId="0" fontId="0" fillId="0" borderId="1" xfId="0" applyFont="1" applyFill="1" applyBorder="1" applyAlignment="1">
      <alignment horizontal="right"/>
    </xf>
    <xf numFmtId="0" fontId="0" fillId="0" borderId="0" xfId="0" applyFont="1" applyFill="1" applyBorder="1" applyAlignment="1">
      <alignment horizontal="right" vertical="top"/>
    </xf>
    <xf numFmtId="6" fontId="0" fillId="0" borderId="0" xfId="0" applyNumberFormat="1" applyFont="1" applyFill="1" applyBorder="1" applyAlignment="1">
      <alignment horizontal="center" vertical="top" wrapText="1"/>
    </xf>
    <xf numFmtId="0" fontId="0" fillId="0" borderId="0" xfId="0" applyFont="1" applyFill="1" applyBorder="1" applyAlignment="1">
      <alignment vertical="center" wrapText="1"/>
    </xf>
    <xf numFmtId="6" fontId="0" fillId="0" borderId="1" xfId="0" applyNumberFormat="1" applyFont="1" applyBorder="1" applyAlignment="1">
      <alignment horizontal="center"/>
    </xf>
    <xf numFmtId="6" fontId="0" fillId="0" borderId="1" xfId="0" applyNumberFormat="1" applyFont="1" applyFill="1" applyBorder="1" applyAlignment="1">
      <alignment horizontal="center" vertical="center" wrapText="1"/>
    </xf>
    <xf numFmtId="0" fontId="0" fillId="0" borderId="0" xfId="0" applyFont="1" applyFill="1" applyBorder="1" applyAlignment="1">
      <alignment vertical="center"/>
    </xf>
    <xf numFmtId="6" fontId="0" fillId="0" borderId="1" xfId="0" applyNumberFormat="1" applyFont="1" applyFill="1" applyBorder="1" applyAlignment="1">
      <alignment horizontal="center" vertical="center"/>
    </xf>
    <xf numFmtId="6" fontId="0" fillId="0" borderId="0" xfId="0" applyNumberFormat="1" applyFont="1" applyFill="1" applyBorder="1" applyAlignment="1">
      <alignment horizontal="center" vertical="center"/>
    </xf>
    <xf numFmtId="3" fontId="0" fillId="6" borderId="1" xfId="0" applyNumberFormat="1" applyFill="1" applyBorder="1" applyAlignment="1">
      <alignment horizontal="center"/>
    </xf>
    <xf numFmtId="0" fontId="0" fillId="0" borderId="0" xfId="0" applyFill="1" applyBorder="1" applyAlignment="1">
      <alignment vertical="center"/>
    </xf>
    <xf numFmtId="0" fontId="0" fillId="5" borderId="3" xfId="0" applyFill="1" applyBorder="1" applyAlignment="1">
      <alignment horizontal="right" indent="1"/>
    </xf>
    <xf numFmtId="0" fontId="0" fillId="5" borderId="15" xfId="0" applyFill="1" applyBorder="1" applyAlignment="1">
      <alignment horizontal="right" indent="1"/>
    </xf>
    <xf numFmtId="164" fontId="5" fillId="0" borderId="0" xfId="0" applyNumberFormat="1" applyFont="1" applyAlignment="1">
      <alignment vertical="center"/>
    </xf>
    <xf numFmtId="164" fontId="5" fillId="0" borderId="0" xfId="0" applyNumberFormat="1" applyFont="1" applyFill="1" applyAlignment="1">
      <alignment horizontal="center" vertical="center"/>
    </xf>
    <xf numFmtId="164" fontId="14" fillId="0" borderId="0" xfId="0" applyNumberFormat="1" applyFont="1" applyAlignment="1">
      <alignment horizontal="center" vertical="center"/>
    </xf>
    <xf numFmtId="164" fontId="5" fillId="0" borderId="0" xfId="0" applyNumberFormat="1" applyFont="1" applyAlignment="1">
      <alignment wrapText="1"/>
    </xf>
    <xf numFmtId="0" fontId="0" fillId="0" borderId="0" xfId="0" applyAlignment="1">
      <alignment wrapText="1"/>
    </xf>
    <xf numFmtId="164" fontId="5" fillId="0" borderId="0" xfId="0" applyNumberFormat="1" applyFont="1" applyAlignment="1">
      <alignment horizontal="center" wrapText="1"/>
    </xf>
    <xf numFmtId="6" fontId="11" fillId="0" borderId="0" xfId="0" applyNumberFormat="1" applyFont="1" applyBorder="1" applyAlignment="1">
      <alignment wrapText="1"/>
    </xf>
    <xf numFmtId="164" fontId="14" fillId="0" borderId="0" xfId="0" applyNumberFormat="1" applyFont="1" applyAlignment="1">
      <alignment wrapText="1"/>
    </xf>
    <xf numFmtId="0" fontId="12" fillId="0" borderId="0" xfId="0" applyNumberFormat="1" applyFont="1" applyAlignment="1">
      <alignment wrapText="1"/>
    </xf>
    <xf numFmtId="167" fontId="12" fillId="0" borderId="0" xfId="0" applyNumberFormat="1" applyFont="1" applyAlignment="1">
      <alignment wrapText="1"/>
    </xf>
    <xf numFmtId="0" fontId="0" fillId="0" borderId="1" xfId="0" applyFill="1" applyBorder="1" applyAlignment="1">
      <alignment horizontal="center" wrapText="1"/>
    </xf>
    <xf numFmtId="1" fontId="15" fillId="3" borderId="0" xfId="0" applyNumberFormat="1" applyFont="1" applyFill="1" applyAlignment="1">
      <alignment horizontal="center" wrapText="1"/>
    </xf>
    <xf numFmtId="1" fontId="15" fillId="2" borderId="0" xfId="0" applyNumberFormat="1" applyFont="1" applyFill="1" applyAlignment="1">
      <alignment horizontal="center" wrapText="1"/>
    </xf>
    <xf numFmtId="1" fontId="15" fillId="0" borderId="0" xfId="0" applyNumberFormat="1" applyFont="1" applyAlignment="1">
      <alignment horizontal="center" wrapText="1"/>
    </xf>
    <xf numFmtId="164" fontId="5" fillId="0" borderId="0" xfId="0" applyNumberFormat="1" applyFont="1" applyAlignment="1">
      <alignment horizontal="left" wrapText="1"/>
    </xf>
    <xf numFmtId="49" fontId="15" fillId="0" borderId="0" xfId="1" applyNumberFormat="1" applyFont="1" applyAlignment="1">
      <alignment horizontal="center" wrapText="1"/>
    </xf>
    <xf numFmtId="9" fontId="5" fillId="0" borderId="0" xfId="1" applyFont="1" applyFill="1" applyBorder="1" applyAlignment="1">
      <alignment horizontal="center" wrapText="1"/>
    </xf>
    <xf numFmtId="164" fontId="5" fillId="0" borderId="1" xfId="0" applyNumberFormat="1" applyFont="1" applyFill="1" applyBorder="1" applyAlignment="1">
      <alignment horizontal="center" wrapText="1"/>
    </xf>
    <xf numFmtId="6" fontId="5" fillId="0" borderId="15" xfId="0" applyNumberFormat="1" applyFont="1" applyFill="1" applyBorder="1" applyAlignment="1">
      <alignment horizontal="center" wrapText="1"/>
    </xf>
    <xf numFmtId="164" fontId="5" fillId="0" borderId="7" xfId="0" applyNumberFormat="1" applyFont="1" applyFill="1" applyBorder="1" applyAlignment="1">
      <alignment horizontal="center" wrapText="1"/>
    </xf>
    <xf numFmtId="164" fontId="5" fillId="0" borderId="0" xfId="0" applyNumberFormat="1" applyFont="1" applyFill="1" applyBorder="1" applyAlignment="1">
      <alignment horizontal="center" wrapText="1"/>
    </xf>
    <xf numFmtId="0" fontId="0" fillId="0" borderId="0" xfId="0" applyAlignment="1">
      <alignment horizontal="center" wrapText="1"/>
    </xf>
    <xf numFmtId="0" fontId="0" fillId="0" borderId="13" xfId="0" applyBorder="1" applyAlignment="1">
      <alignment horizontal="center" wrapText="1"/>
    </xf>
    <xf numFmtId="0" fontId="0" fillId="0" borderId="15" xfId="0" applyBorder="1" applyAlignment="1">
      <alignment horizontal="center" wrapText="1"/>
    </xf>
    <xf numFmtId="0" fontId="0" fillId="0" borderId="0" xfId="0" applyBorder="1" applyAlignment="1">
      <alignment horizontal="center" wrapText="1"/>
    </xf>
    <xf numFmtId="0" fontId="0" fillId="0" borderId="0" xfId="0" applyBorder="1" applyAlignment="1">
      <alignment wrapText="1"/>
    </xf>
    <xf numFmtId="1" fontId="0" fillId="0" borderId="12" xfId="0" applyNumberFormat="1" applyBorder="1" applyAlignment="1">
      <alignment horizontal="center" wrapText="1"/>
    </xf>
    <xf numFmtId="1" fontId="0" fillId="0" borderId="1" xfId="0" applyNumberFormat="1" applyBorder="1" applyAlignment="1">
      <alignment horizontal="center" wrapText="1"/>
    </xf>
    <xf numFmtId="164" fontId="9" fillId="0" borderId="0" xfId="0" applyNumberFormat="1" applyFont="1" applyBorder="1" applyAlignment="1">
      <alignment wrapText="1"/>
    </xf>
    <xf numFmtId="0" fontId="5" fillId="0" borderId="0" xfId="0" applyFont="1" applyAlignment="1">
      <alignment wrapText="1"/>
    </xf>
    <xf numFmtId="0" fontId="0" fillId="0" borderId="0" xfId="0" applyFont="1" applyAlignment="1">
      <alignment horizontal="left" wrapText="1"/>
    </xf>
    <xf numFmtId="0" fontId="0" fillId="0" borderId="0" xfId="0" applyFont="1" applyAlignment="1">
      <alignment horizontal="center" wrapText="1"/>
    </xf>
    <xf numFmtId="1" fontId="5" fillId="0" borderId="0" xfId="0" applyNumberFormat="1" applyFont="1" applyAlignment="1">
      <alignment horizontal="center" wrapText="1"/>
    </xf>
    <xf numFmtId="0" fontId="0" fillId="0" borderId="7" xfId="0" applyFont="1" applyFill="1" applyBorder="1" applyAlignment="1">
      <alignment horizontal="center" wrapText="1"/>
    </xf>
    <xf numFmtId="0" fontId="0" fillId="0" borderId="0" xfId="0" applyFont="1" applyFill="1" applyBorder="1" applyAlignment="1">
      <alignment horizontal="center" wrapText="1"/>
    </xf>
    <xf numFmtId="0" fontId="5" fillId="0" borderId="0" xfId="0" applyFont="1" applyFill="1" applyBorder="1" applyAlignment="1">
      <alignment horizontal="center" wrapText="1"/>
    </xf>
    <xf numFmtId="0" fontId="0" fillId="0" borderId="0" xfId="0" applyFont="1" applyBorder="1" applyAlignment="1">
      <alignment horizontal="left" wrapText="1"/>
    </xf>
    <xf numFmtId="1" fontId="5" fillId="0" borderId="0" xfId="0" applyNumberFormat="1" applyFont="1" applyBorder="1" applyAlignment="1">
      <alignment horizontal="center" wrapText="1"/>
    </xf>
    <xf numFmtId="0" fontId="3" fillId="0" borderId="11" xfId="0" applyFont="1" applyFill="1" applyBorder="1" applyAlignment="1">
      <alignment horizontal="center" wrapText="1"/>
    </xf>
    <xf numFmtId="0" fontId="0" fillId="0" borderId="0" xfId="0" applyFont="1" applyAlignment="1">
      <alignment wrapText="1"/>
    </xf>
    <xf numFmtId="1" fontId="0" fillId="0" borderId="0" xfId="0" applyNumberFormat="1" applyFont="1" applyAlignment="1">
      <alignment horizontal="center" wrapText="1"/>
    </xf>
    <xf numFmtId="0" fontId="0" fillId="0" borderId="0" xfId="0" applyFont="1" applyFill="1" applyAlignment="1">
      <alignment wrapText="1"/>
    </xf>
    <xf numFmtId="0" fontId="0" fillId="0" borderId="0" xfId="0" applyFont="1" applyFill="1" applyAlignment="1">
      <alignment horizontal="center" wrapText="1"/>
    </xf>
    <xf numFmtId="1" fontId="0" fillId="0" borderId="0" xfId="0" applyNumberFormat="1" applyFont="1" applyFill="1" applyAlignment="1">
      <alignment horizontal="center" wrapText="1"/>
    </xf>
    <xf numFmtId="6" fontId="0" fillId="0" borderId="0" xfId="0" applyNumberFormat="1" applyFont="1" applyAlignment="1">
      <alignment horizontal="center" wrapText="1"/>
    </xf>
    <xf numFmtId="1" fontId="0" fillId="0" borderId="1" xfId="0" applyNumberFormat="1" applyFont="1" applyFill="1" applyBorder="1" applyAlignment="1">
      <alignment horizontal="center" wrapText="1"/>
    </xf>
    <xf numFmtId="6" fontId="0" fillId="0" borderId="0" xfId="0" applyNumberFormat="1" applyFont="1" applyFill="1" applyBorder="1" applyAlignment="1">
      <alignment horizontal="center" wrapText="1"/>
    </xf>
    <xf numFmtId="0" fontId="0" fillId="0" borderId="17" xfId="0" applyFont="1" applyBorder="1" applyAlignment="1">
      <alignment horizontal="center"/>
    </xf>
    <xf numFmtId="0" fontId="4" fillId="0" borderId="0" xfId="0" applyFont="1" applyFill="1" applyBorder="1" applyAlignment="1">
      <alignment wrapText="1"/>
    </xf>
    <xf numFmtId="6" fontId="0" fillId="0" borderId="14" xfId="0" applyNumberFormat="1" applyFont="1" applyFill="1" applyBorder="1" applyAlignment="1">
      <alignment horizontal="center" vertical="center" wrapText="1"/>
    </xf>
    <xf numFmtId="0" fontId="0" fillId="0" borderId="0" xfId="0" applyFont="1" applyFill="1" applyBorder="1" applyAlignment="1"/>
    <xf numFmtId="6" fontId="0" fillId="0" borderId="0" xfId="0" applyNumberFormat="1" applyFill="1" applyBorder="1" applyAlignment="1">
      <alignment horizontal="right" vertical="center"/>
    </xf>
    <xf numFmtId="0" fontId="3" fillId="0" borderId="0" xfId="0" applyFont="1" applyAlignment="1">
      <alignment horizontal="right" vertical="center" indent="2"/>
    </xf>
    <xf numFmtId="6" fontId="0" fillId="0" borderId="1" xfId="0" applyNumberFormat="1" applyFont="1" applyFill="1" applyBorder="1" applyAlignment="1">
      <alignment horizontal="center"/>
    </xf>
    <xf numFmtId="164" fontId="14" fillId="0" borderId="0" xfId="0" applyNumberFormat="1" applyFont="1" applyBorder="1"/>
    <xf numFmtId="164" fontId="5" fillId="0" borderId="0" xfId="0" applyNumberFormat="1" applyFont="1" applyBorder="1" applyAlignment="1"/>
    <xf numFmtId="164" fontId="5" fillId="0" borderId="0" xfId="0" applyNumberFormat="1" applyFont="1" applyBorder="1" applyAlignment="1">
      <alignment vertical="center" wrapText="1"/>
    </xf>
    <xf numFmtId="0" fontId="0" fillId="0" borderId="0" xfId="0" applyBorder="1" applyAlignment="1">
      <alignment vertical="center" wrapText="1"/>
    </xf>
    <xf numFmtId="164" fontId="5" fillId="0" borderId="0" xfId="0" applyNumberFormat="1" applyFont="1" applyBorder="1" applyAlignment="1">
      <alignment vertical="center"/>
    </xf>
    <xf numFmtId="0" fontId="0" fillId="0" borderId="15" xfId="0" applyBorder="1" applyAlignment="1">
      <alignment horizontal="center"/>
    </xf>
    <xf numFmtId="0" fontId="0" fillId="0" borderId="14" xfId="0" applyBorder="1" applyAlignment="1">
      <alignment horizontal="center"/>
    </xf>
    <xf numFmtId="164" fontId="5" fillId="4" borderId="0" xfId="0" applyNumberFormat="1" applyFont="1" applyFill="1" applyBorder="1" applyAlignment="1"/>
    <xf numFmtId="164" fontId="11" fillId="4" borderId="0" xfId="0" applyNumberFormat="1" applyFont="1" applyFill="1" applyAlignment="1"/>
    <xf numFmtId="164" fontId="5" fillId="4" borderId="0" xfId="0" applyNumberFormat="1" applyFont="1" applyFill="1" applyAlignment="1">
      <alignment horizontal="right"/>
    </xf>
    <xf numFmtId="166" fontId="5" fillId="4" borderId="0" xfId="1" applyNumberFormat="1" applyFont="1" applyFill="1" applyAlignment="1">
      <alignment horizontal="center"/>
    </xf>
    <xf numFmtId="164" fontId="5" fillId="4" borderId="0" xfId="0" applyNumberFormat="1" applyFont="1" applyFill="1" applyAlignment="1">
      <alignment horizontal="center"/>
    </xf>
    <xf numFmtId="6" fontId="11" fillId="4" borderId="0" xfId="0" applyNumberFormat="1" applyFont="1" applyFill="1" applyBorder="1" applyAlignment="1"/>
    <xf numFmtId="164" fontId="14" fillId="4" borderId="0" xfId="0" applyNumberFormat="1" applyFont="1" applyFill="1"/>
    <xf numFmtId="164" fontId="21" fillId="0" borderId="0" xfId="0" applyNumberFormat="1" applyFont="1" applyFill="1" applyBorder="1" applyAlignment="1"/>
    <xf numFmtId="164" fontId="5" fillId="0" borderId="0" xfId="0" applyNumberFormat="1" applyFont="1" applyBorder="1" applyAlignment="1">
      <alignment horizontal="center" wrapText="1"/>
    </xf>
    <xf numFmtId="164" fontId="5" fillId="0" borderId="0" xfId="0" applyNumberFormat="1" applyFont="1" applyAlignment="1">
      <alignment vertical="center" wrapText="1"/>
    </xf>
    <xf numFmtId="164" fontId="5" fillId="0" borderId="0" xfId="0" applyNumberFormat="1" applyFont="1" applyAlignment="1">
      <alignment horizontal="center" vertical="center" wrapText="1"/>
    </xf>
    <xf numFmtId="164" fontId="14" fillId="0" borderId="0" xfId="0" applyNumberFormat="1" applyFont="1" applyAlignment="1">
      <alignment vertical="center" wrapText="1"/>
    </xf>
    <xf numFmtId="164" fontId="5" fillId="5" borderId="1" xfId="0" applyNumberFormat="1" applyFont="1" applyFill="1" applyBorder="1" applyAlignment="1">
      <alignment horizontal="center" vertical="center" wrapText="1"/>
    </xf>
    <xf numFmtId="164" fontId="0" fillId="0" borderId="1" xfId="0" applyNumberFormat="1" applyFill="1" applyBorder="1" applyAlignment="1">
      <alignment horizontal="center" wrapText="1"/>
    </xf>
    <xf numFmtId="6" fontId="0" fillId="0" borderId="0" xfId="0" applyNumberFormat="1" applyFill="1" applyBorder="1" applyAlignment="1">
      <alignment horizontal="center"/>
    </xf>
    <xf numFmtId="164" fontId="0" fillId="0" borderId="0" xfId="0" applyNumberFormat="1" applyFont="1" applyFill="1" applyBorder="1" applyAlignment="1">
      <alignment horizontal="center"/>
    </xf>
    <xf numFmtId="0" fontId="0" fillId="0" borderId="4" xfId="0" applyFill="1" applyBorder="1" applyAlignment="1">
      <alignment horizontal="right"/>
    </xf>
    <xf numFmtId="0" fontId="0" fillId="0" borderId="1" xfId="0" applyFill="1" applyBorder="1" applyAlignment="1">
      <alignment horizontal="center"/>
    </xf>
    <xf numFmtId="0" fontId="0" fillId="0" borderId="4" xfId="0" applyBorder="1" applyAlignment="1"/>
    <xf numFmtId="0" fontId="0" fillId="0" borderId="5" xfId="0" applyBorder="1" applyAlignment="1"/>
    <xf numFmtId="0" fontId="0" fillId="0" borderId="6" xfId="0" applyBorder="1" applyAlignment="1"/>
    <xf numFmtId="164" fontId="5" fillId="0" borderId="2" xfId="0" applyNumberFormat="1" applyFont="1" applyBorder="1" applyAlignment="1"/>
    <xf numFmtId="9" fontId="0" fillId="0" borderId="0" xfId="0" applyNumberFormat="1"/>
    <xf numFmtId="164" fontId="0" fillId="0" borderId="0" xfId="0" applyNumberFormat="1" applyFont="1" applyFill="1" applyBorder="1" applyAlignment="1">
      <alignment vertical="center"/>
    </xf>
    <xf numFmtId="6" fontId="0" fillId="0" borderId="0" xfId="0" applyNumberFormat="1" applyFont="1" applyFill="1" applyBorder="1" applyAlignment="1"/>
    <xf numFmtId="6" fontId="0" fillId="0" borderId="0" xfId="0" applyNumberFormat="1" applyFill="1" applyBorder="1" applyAlignment="1">
      <alignment horizontal="center" wrapText="1"/>
    </xf>
    <xf numFmtId="0" fontId="0" fillId="0" borderId="1" xfId="0" applyFont="1" applyFill="1" applyBorder="1" applyAlignment="1">
      <alignment horizontal="right" vertical="center" wrapText="1"/>
    </xf>
    <xf numFmtId="0" fontId="0" fillId="0" borderId="0" xfId="0" applyAlignment="1">
      <alignment vertical="center" wrapText="1"/>
    </xf>
    <xf numFmtId="0" fontId="6" fillId="0" borderId="0" xfId="0" applyFont="1" applyAlignment="1">
      <alignment vertical="center" wrapText="1"/>
    </xf>
    <xf numFmtId="0" fontId="6" fillId="0" borderId="0" xfId="0" applyFont="1" applyFill="1" applyAlignment="1">
      <alignment vertical="center" wrapText="1"/>
    </xf>
    <xf numFmtId="0" fontId="6" fillId="0" borderId="1" xfId="0" applyFont="1" applyFill="1" applyBorder="1" applyAlignment="1">
      <alignment horizontal="center" vertical="center" wrapText="1"/>
    </xf>
    <xf numFmtId="0" fontId="0" fillId="0" borderId="1" xfId="0" applyBorder="1" applyAlignment="1">
      <alignment vertical="center" wrapText="1"/>
    </xf>
    <xf numFmtId="0" fontId="0" fillId="0" borderId="15" xfId="0" applyBorder="1" applyAlignment="1">
      <alignment horizontal="center" vertical="center" wrapText="1"/>
    </xf>
    <xf numFmtId="0" fontId="5" fillId="0" borderId="0" xfId="0" applyFont="1" applyBorder="1" applyAlignment="1">
      <alignment horizontal="center" vertical="center" wrapText="1"/>
    </xf>
    <xf numFmtId="49" fontId="15" fillId="0" borderId="0" xfId="1" applyNumberFormat="1" applyFont="1" applyAlignment="1">
      <alignment horizontal="center" vertical="center" wrapText="1"/>
    </xf>
    <xf numFmtId="164" fontId="3" fillId="0" borderId="0" xfId="0" applyNumberFormat="1" applyFont="1" applyAlignment="1">
      <alignment horizontal="right"/>
    </xf>
    <xf numFmtId="0" fontId="3" fillId="0" borderId="0" xfId="0" applyFont="1" applyBorder="1"/>
    <xf numFmtId="3" fontId="3" fillId="0" borderId="0" xfId="0" applyNumberFormat="1" applyFont="1" applyBorder="1" applyAlignment="1">
      <alignment horizontal="center"/>
    </xf>
    <xf numFmtId="9" fontId="3" fillId="0" borderId="0" xfId="0" applyNumberFormat="1" applyFont="1" applyAlignment="1">
      <alignment horizontal="center"/>
    </xf>
    <xf numFmtId="169" fontId="3" fillId="0" borderId="0" xfId="0" applyNumberFormat="1" applyFont="1"/>
    <xf numFmtId="3" fontId="3" fillId="0" borderId="0" xfId="0" applyNumberFormat="1" applyFont="1" applyAlignment="1">
      <alignment horizontal="center"/>
    </xf>
    <xf numFmtId="166" fontId="0" fillId="0" borderId="1" xfId="1" applyNumberFormat="1" applyFont="1" applyFill="1" applyBorder="1" applyAlignment="1">
      <alignment horizontal="center" vertical="center"/>
    </xf>
    <xf numFmtId="164" fontId="0" fillId="0" borderId="1" xfId="0" applyNumberFormat="1" applyFill="1" applyBorder="1" applyAlignment="1">
      <alignment horizontal="right" vertical="center" wrapText="1"/>
    </xf>
    <xf numFmtId="0" fontId="0" fillId="0" borderId="1" xfId="0" applyFill="1" applyBorder="1" applyAlignment="1">
      <alignment horizontal="right" vertical="center" wrapText="1"/>
    </xf>
    <xf numFmtId="9" fontId="0" fillId="0" borderId="1" xfId="0" applyNumberFormat="1" applyFill="1" applyBorder="1" applyAlignment="1">
      <alignment horizontal="center" vertical="center"/>
    </xf>
    <xf numFmtId="164" fontId="5" fillId="0" borderId="4" xfId="0" applyNumberFormat="1" applyFont="1" applyFill="1" applyBorder="1" applyAlignment="1"/>
    <xf numFmtId="164" fontId="5" fillId="0" borderId="5" xfId="0" applyNumberFormat="1" applyFont="1" applyFill="1" applyBorder="1" applyAlignment="1"/>
    <xf numFmtId="164" fontId="5" fillId="0" borderId="6" xfId="0" applyNumberFormat="1" applyFont="1" applyFill="1" applyBorder="1" applyAlignment="1"/>
    <xf numFmtId="6" fontId="5" fillId="0" borderId="1" xfId="0" applyNumberFormat="1" applyFont="1" applyFill="1" applyBorder="1" applyAlignment="1">
      <alignment horizontal="center" vertical="center"/>
    </xf>
    <xf numFmtId="0" fontId="0" fillId="0" borderId="0" xfId="0" applyAlignment="1">
      <alignment horizontal="center" vertical="center" wrapText="1"/>
    </xf>
    <xf numFmtId="164" fontId="5" fillId="0" borderId="1" xfId="0" applyNumberFormat="1" applyFont="1" applyFill="1" applyBorder="1" applyAlignment="1">
      <alignment horizontal="center" vertical="center"/>
    </xf>
    <xf numFmtId="6" fontId="0" fillId="0" borderId="0" xfId="0" applyNumberFormat="1" applyFill="1" applyBorder="1" applyAlignment="1">
      <alignment horizontal="center"/>
    </xf>
    <xf numFmtId="6" fontId="23" fillId="5" borderId="0" xfId="0" applyNumberFormat="1" applyFont="1" applyFill="1" applyAlignment="1">
      <alignment horizontal="center" vertical="center"/>
    </xf>
    <xf numFmtId="0" fontId="0" fillId="0" borderId="0" xfId="0" applyAlignment="1">
      <alignment horizontal="right" vertical="center" wrapText="1"/>
    </xf>
    <xf numFmtId="164" fontId="0" fillId="0" borderId="1" xfId="0" applyNumberFormat="1" applyFill="1" applyBorder="1" applyAlignment="1">
      <alignment horizontal="center" vertical="center" wrapText="1"/>
    </xf>
    <xf numFmtId="0" fontId="0" fillId="0" borderId="1" xfId="0" applyFill="1" applyBorder="1" applyAlignment="1">
      <alignment horizontal="center" vertical="center" wrapText="1"/>
    </xf>
    <xf numFmtId="3" fontId="22" fillId="0" borderId="0" xfId="0" applyNumberFormat="1" applyFont="1" applyBorder="1" applyAlignment="1">
      <alignment horizontal="center"/>
    </xf>
    <xf numFmtId="164" fontId="5" fillId="0" borderId="0" xfId="0" applyNumberFormat="1" applyFont="1" applyFill="1" applyBorder="1" applyAlignment="1">
      <alignment vertical="center" wrapText="1"/>
    </xf>
    <xf numFmtId="6" fontId="5" fillId="0" borderId="15" xfId="0" applyNumberFormat="1" applyFont="1" applyFill="1" applyBorder="1" applyAlignment="1">
      <alignment horizontal="center" vertical="center" wrapText="1"/>
    </xf>
    <xf numFmtId="164" fontId="5" fillId="0" borderId="0" xfId="0" applyNumberFormat="1" applyFont="1" applyFill="1" applyBorder="1" applyAlignment="1">
      <alignment horizontal="center" vertical="center" wrapText="1"/>
    </xf>
    <xf numFmtId="164" fontId="5" fillId="0" borderId="7" xfId="0" applyNumberFormat="1" applyFont="1" applyFill="1" applyBorder="1" applyAlignment="1">
      <alignment vertical="center" wrapText="1"/>
    </xf>
    <xf numFmtId="164" fontId="5" fillId="0" borderId="0" xfId="0" applyNumberFormat="1" applyFont="1" applyFill="1" applyBorder="1" applyAlignment="1">
      <alignment horizontal="right" vertical="center" wrapText="1"/>
    </xf>
    <xf numFmtId="167" fontId="5" fillId="0" borderId="0" xfId="0" applyNumberFormat="1" applyFont="1" applyAlignment="1">
      <alignment horizontal="center"/>
    </xf>
    <xf numFmtId="6" fontId="0" fillId="0" borderId="1" xfId="0" applyNumberFormat="1" applyFont="1" applyFill="1" applyBorder="1" applyAlignment="1">
      <alignment horizontal="center"/>
    </xf>
    <xf numFmtId="3" fontId="5" fillId="6" borderId="1" xfId="0" applyNumberFormat="1" applyFont="1" applyFill="1" applyBorder="1" applyAlignment="1">
      <alignment horizontal="center"/>
    </xf>
    <xf numFmtId="6" fontId="0" fillId="0" borderId="1" xfId="0" applyNumberFormat="1" applyFont="1" applyFill="1" applyBorder="1" applyAlignment="1">
      <alignment horizontal="right" vertical="center"/>
    </xf>
    <xf numFmtId="6" fontId="0" fillId="0" borderId="1" xfId="0" applyNumberFormat="1" applyFont="1" applyFill="1" applyBorder="1" applyAlignment="1">
      <alignment horizontal="right" vertical="center" wrapText="1"/>
    </xf>
    <xf numFmtId="9" fontId="0" fillId="5" borderId="1" xfId="1" applyFont="1" applyFill="1" applyBorder="1" applyAlignment="1">
      <alignment horizontal="center"/>
    </xf>
    <xf numFmtId="168" fontId="0" fillId="0" borderId="13" xfId="0" applyNumberFormat="1" applyBorder="1" applyAlignment="1">
      <alignment horizontal="right"/>
    </xf>
    <xf numFmtId="164" fontId="0" fillId="0" borderId="3" xfId="0" applyNumberFormat="1" applyBorder="1" applyAlignment="1">
      <alignment horizontal="right"/>
    </xf>
    <xf numFmtId="164" fontId="5" fillId="0" borderId="15" xfId="0" applyNumberFormat="1" applyFont="1" applyBorder="1"/>
    <xf numFmtId="1" fontId="0" fillId="0" borderId="3" xfId="0" applyNumberFormat="1" applyBorder="1" applyAlignment="1">
      <alignment horizontal="right"/>
    </xf>
    <xf numFmtId="164" fontId="0" fillId="0" borderId="1" xfId="0" applyNumberFormat="1" applyFill="1" applyBorder="1" applyAlignment="1">
      <alignment horizontal="left" vertical="center" wrapText="1"/>
    </xf>
    <xf numFmtId="3" fontId="0" fillId="0" borderId="6" xfId="0" applyNumberFormat="1" applyFill="1" applyBorder="1" applyAlignment="1">
      <alignment horizontal="center" vertical="center"/>
    </xf>
    <xf numFmtId="0" fontId="0" fillId="0" borderId="18" xfId="0" applyBorder="1" applyAlignment="1">
      <alignment horizontal="right"/>
    </xf>
    <xf numFmtId="6" fontId="0" fillId="0" borderId="18" xfId="0" applyNumberFormat="1" applyBorder="1" applyAlignment="1">
      <alignment horizontal="center"/>
    </xf>
    <xf numFmtId="6" fontId="0" fillId="0" borderId="18" xfId="0" applyNumberFormat="1" applyFill="1" applyBorder="1" applyAlignment="1">
      <alignment horizontal="center"/>
    </xf>
    <xf numFmtId="6" fontId="0" fillId="0" borderId="16" xfId="0" applyNumberFormat="1" applyBorder="1" applyAlignment="1">
      <alignment horizontal="center"/>
    </xf>
    <xf numFmtId="0" fontId="0" fillId="0" borderId="16" xfId="0" applyBorder="1" applyAlignment="1">
      <alignment horizontal="right"/>
    </xf>
    <xf numFmtId="0" fontId="0" fillId="0" borderId="0" xfId="0" applyFill="1" applyBorder="1" applyAlignment="1"/>
    <xf numFmtId="6" fontId="0" fillId="0" borderId="1" xfId="0" applyNumberFormat="1" applyFont="1" applyFill="1" applyBorder="1" applyAlignment="1">
      <alignment horizontal="center" wrapText="1"/>
    </xf>
    <xf numFmtId="1" fontId="0" fillId="0" borderId="4" xfId="0" applyNumberFormat="1" applyFont="1" applyFill="1" applyBorder="1" applyAlignment="1">
      <alignment horizontal="center" wrapText="1"/>
    </xf>
    <xf numFmtId="164" fontId="0" fillId="0" borderId="14" xfId="0" applyNumberFormat="1" applyFont="1" applyFill="1" applyBorder="1" applyAlignment="1">
      <alignment vertical="center"/>
    </xf>
    <xf numFmtId="0" fontId="0" fillId="0" borderId="15" xfId="0" applyFont="1" applyBorder="1" applyAlignment="1">
      <alignment horizontal="center" wrapText="1"/>
    </xf>
    <xf numFmtId="164" fontId="0" fillId="0" borderId="4" xfId="0" applyNumberFormat="1" applyFont="1" applyFill="1" applyBorder="1" applyAlignment="1">
      <alignment vertical="center"/>
    </xf>
    <xf numFmtId="164" fontId="0" fillId="0" borderId="5" xfId="0" applyNumberFormat="1" applyFont="1" applyFill="1" applyBorder="1" applyAlignment="1">
      <alignment vertical="center"/>
    </xf>
    <xf numFmtId="6" fontId="0" fillId="0" borderId="4" xfId="0" applyNumberFormat="1" applyFont="1" applyFill="1" applyBorder="1" applyAlignment="1">
      <alignment horizontal="center" vertical="center"/>
    </xf>
    <xf numFmtId="6" fontId="0" fillId="0" borderId="4" xfId="0" applyNumberFormat="1" applyFont="1" applyFill="1" applyBorder="1" applyAlignment="1">
      <alignment horizontal="right" vertical="center"/>
    </xf>
    <xf numFmtId="6" fontId="5" fillId="0" borderId="6" xfId="0" applyNumberFormat="1" applyFont="1" applyBorder="1" applyAlignment="1">
      <alignment horizontal="right" vertical="center" wrapText="1"/>
    </xf>
    <xf numFmtId="0" fontId="5" fillId="0" borderId="1" xfId="0" applyNumberFormat="1" applyFont="1" applyFill="1" applyBorder="1" applyAlignment="1">
      <alignment horizontal="right" vertical="center" wrapText="1"/>
    </xf>
    <xf numFmtId="0" fontId="0" fillId="0" borderId="14" xfId="0" applyBorder="1" applyAlignment="1">
      <alignment horizontal="right" vertical="center"/>
    </xf>
    <xf numFmtId="0" fontId="0" fillId="0" borderId="1" xfId="0" applyBorder="1" applyAlignment="1">
      <alignment horizontal="right" vertical="center"/>
    </xf>
    <xf numFmtId="3" fontId="0" fillId="0" borderId="1" xfId="0" applyNumberFormat="1" applyFill="1" applyBorder="1" applyAlignment="1">
      <alignment horizontal="center" vertical="center"/>
    </xf>
    <xf numFmtId="0" fontId="0" fillId="0" borderId="3" xfId="0" applyBorder="1" applyAlignment="1">
      <alignment horizontal="right" vertical="center"/>
    </xf>
    <xf numFmtId="168" fontId="0" fillId="0" borderId="15" xfId="0" applyNumberFormat="1" applyBorder="1" applyAlignment="1">
      <alignment horizontal="right" vertical="center"/>
    </xf>
    <xf numFmtId="164" fontId="0" fillId="0" borderId="14" xfId="0" applyNumberFormat="1" applyBorder="1" applyAlignment="1">
      <alignment horizontal="right" vertical="center"/>
    </xf>
    <xf numFmtId="164" fontId="5" fillId="0" borderId="14" xfId="0" applyNumberFormat="1" applyFont="1" applyBorder="1" applyAlignment="1">
      <alignment horizontal="right" vertical="center"/>
    </xf>
    <xf numFmtId="0" fontId="0" fillId="0" borderId="1" xfId="0" applyFill="1" applyBorder="1" applyAlignment="1">
      <alignment horizontal="left"/>
    </xf>
    <xf numFmtId="164" fontId="5" fillId="0" borderId="0" xfId="0" applyNumberFormat="1" applyFont="1" applyBorder="1" applyAlignment="1">
      <alignment wrapText="1"/>
    </xf>
    <xf numFmtId="164" fontId="0" fillId="0" borderId="0" xfId="0" applyNumberFormat="1" applyFill="1" applyBorder="1" applyAlignment="1">
      <alignment horizontal="center" wrapText="1"/>
    </xf>
    <xf numFmtId="0" fontId="0" fillId="0" borderId="0" xfId="0" applyFill="1" applyBorder="1" applyAlignment="1">
      <alignment horizontal="center" wrapText="1"/>
    </xf>
    <xf numFmtId="164" fontId="5" fillId="0" borderId="3" xfId="0" applyNumberFormat="1" applyFont="1" applyBorder="1" applyAlignment="1">
      <alignment horizontal="right"/>
    </xf>
    <xf numFmtId="3" fontId="0" fillId="7" borderId="1" xfId="0" applyNumberFormat="1" applyFill="1" applyBorder="1" applyAlignment="1">
      <alignment horizontal="center"/>
    </xf>
    <xf numFmtId="168" fontId="12" fillId="0" borderId="0" xfId="0" applyNumberFormat="1" applyFont="1" applyAlignment="1"/>
    <xf numFmtId="168" fontId="14" fillId="0" borderId="0" xfId="0" applyNumberFormat="1" applyFont="1"/>
    <xf numFmtId="9" fontId="0" fillId="7" borderId="1" xfId="1" applyFont="1" applyFill="1" applyBorder="1" applyAlignment="1">
      <alignment horizontal="center"/>
    </xf>
    <xf numFmtId="9" fontId="0" fillId="0" borderId="1" xfId="1" applyNumberFormat="1" applyFont="1" applyBorder="1" applyAlignment="1">
      <alignment horizontal="center"/>
    </xf>
    <xf numFmtId="9" fontId="0" fillId="7" borderId="1" xfId="1" applyNumberFormat="1" applyFont="1" applyFill="1" applyBorder="1" applyAlignment="1">
      <alignment horizontal="center"/>
    </xf>
    <xf numFmtId="164" fontId="0" fillId="0" borderId="1" xfId="0" applyNumberFormat="1" applyFont="1" applyBorder="1" applyAlignment="1">
      <alignment horizontal="right"/>
    </xf>
    <xf numFmtId="0" fontId="0" fillId="0" borderId="14" xfId="0" applyFont="1" applyBorder="1" applyAlignment="1">
      <alignment horizontal="right"/>
    </xf>
    <xf numFmtId="164" fontId="0" fillId="0" borderId="3" xfId="0" applyNumberFormat="1" applyFont="1" applyBorder="1" applyAlignment="1">
      <alignment horizontal="right"/>
    </xf>
    <xf numFmtId="164" fontId="0" fillId="0" borderId="1" xfId="0" applyNumberFormat="1" applyFill="1" applyBorder="1" applyAlignment="1">
      <alignment horizontal="center"/>
    </xf>
    <xf numFmtId="164" fontId="0" fillId="7" borderId="1" xfId="0" applyNumberFormat="1" applyFill="1" applyBorder="1" applyAlignment="1">
      <alignment horizontal="center"/>
    </xf>
    <xf numFmtId="9" fontId="0" fillId="7" borderId="1" xfId="0" applyNumberFormat="1" applyFill="1" applyBorder="1" applyAlignment="1">
      <alignment horizontal="center"/>
    </xf>
    <xf numFmtId="3" fontId="0" fillId="0" borderId="0" xfId="0" applyNumberFormat="1" applyFill="1" applyBorder="1" applyAlignment="1">
      <alignment horizontal="center" vertical="center"/>
    </xf>
    <xf numFmtId="0" fontId="0" fillId="0" borderId="1" xfId="0" applyBorder="1" applyAlignment="1">
      <alignment horizontal="center" wrapText="1"/>
    </xf>
    <xf numFmtId="9" fontId="0" fillId="0" borderId="1" xfId="1" applyFont="1" applyFill="1" applyBorder="1" applyAlignment="1">
      <alignment horizontal="center" vertical="center"/>
    </xf>
    <xf numFmtId="0" fontId="0" fillId="0" borderId="0" xfId="0" applyBorder="1" applyAlignment="1">
      <alignment horizontal="center" vertical="center" wrapText="1"/>
    </xf>
    <xf numFmtId="164" fontId="0" fillId="0" borderId="1" xfId="0" applyNumberFormat="1" applyBorder="1" applyAlignment="1">
      <alignment horizontal="right" vertical="center"/>
    </xf>
    <xf numFmtId="0" fontId="24" fillId="0" borderId="0" xfId="0" applyFont="1" applyBorder="1" applyAlignment="1">
      <alignment horizontal="right" vertical="center" wrapText="1"/>
    </xf>
    <xf numFmtId="0" fontId="0" fillId="0" borderId="0" xfId="0" applyBorder="1" applyAlignment="1">
      <alignment horizontal="right" vertical="center"/>
    </xf>
    <xf numFmtId="9" fontId="0" fillId="0" borderId="1" xfId="0" applyNumberFormat="1" applyBorder="1" applyAlignment="1">
      <alignment horizontal="center"/>
    </xf>
    <xf numFmtId="3" fontId="5" fillId="7" borderId="6" xfId="0" applyNumberFormat="1" applyFont="1" applyFill="1" applyBorder="1" applyAlignment="1">
      <alignment horizontal="center" vertical="center"/>
    </xf>
    <xf numFmtId="3" fontId="0" fillId="7" borderId="6" xfId="0" applyNumberFormat="1" applyFill="1" applyBorder="1" applyAlignment="1">
      <alignment horizontal="center" vertical="center"/>
    </xf>
    <xf numFmtId="167" fontId="25" fillId="0" borderId="0" xfId="0" applyNumberFormat="1" applyFont="1" applyAlignment="1"/>
    <xf numFmtId="6" fontId="0" fillId="0" borderId="0" xfId="0" applyNumberFormat="1" applyFill="1" applyBorder="1" applyAlignment="1">
      <alignment horizontal="center"/>
    </xf>
    <xf numFmtId="9" fontId="0" fillId="0" borderId="0" xfId="0" applyNumberFormat="1" applyFill="1" applyBorder="1" applyAlignment="1">
      <alignment horizontal="center"/>
    </xf>
    <xf numFmtId="164" fontId="0" fillId="0" borderId="0" xfId="0" applyNumberFormat="1" applyFill="1" applyBorder="1" applyAlignment="1">
      <alignment horizontal="center" vertical="center"/>
    </xf>
    <xf numFmtId="0" fontId="0" fillId="0" borderId="9" xfId="0" applyBorder="1" applyAlignment="1">
      <alignment vertical="center"/>
    </xf>
    <xf numFmtId="3" fontId="0" fillId="0" borderId="8" xfId="0" applyNumberFormat="1" applyFill="1" applyBorder="1" applyAlignment="1">
      <alignment horizontal="center"/>
    </xf>
    <xf numFmtId="9" fontId="0" fillId="0" borderId="8" xfId="0" applyNumberFormat="1" applyFill="1" applyBorder="1" applyAlignment="1">
      <alignment horizontal="center"/>
    </xf>
    <xf numFmtId="164" fontId="0" fillId="0" borderId="10" xfId="0" applyNumberFormat="1" applyFill="1" applyBorder="1" applyAlignment="1">
      <alignment horizontal="center" vertical="center"/>
    </xf>
    <xf numFmtId="0" fontId="0" fillId="0" borderId="7" xfId="0" applyBorder="1" applyAlignment="1">
      <alignment vertical="center" wrapText="1"/>
    </xf>
    <xf numFmtId="0" fontId="0" fillId="0" borderId="7" xfId="0" applyBorder="1" applyAlignment="1">
      <alignment vertical="center"/>
    </xf>
    <xf numFmtId="0" fontId="0" fillId="0" borderId="0" xfId="0" applyBorder="1" applyAlignment="1">
      <alignment horizontal="left" vertical="center" wrapText="1"/>
    </xf>
    <xf numFmtId="0" fontId="0" fillId="0" borderId="11" xfId="0" applyBorder="1" applyAlignment="1">
      <alignment horizontal="left" vertical="center" wrapText="1"/>
    </xf>
    <xf numFmtId="0" fontId="0" fillId="0" borderId="11" xfId="0" applyBorder="1" applyAlignment="1">
      <alignment vertical="center"/>
    </xf>
    <xf numFmtId="0" fontId="11" fillId="0" borderId="0" xfId="0" applyFont="1" applyAlignment="1">
      <alignment horizontal="left" vertical="center"/>
    </xf>
    <xf numFmtId="0" fontId="27" fillId="0" borderId="0" xfId="0" applyFont="1" applyAlignment="1">
      <alignment horizontal="left" vertical="center" readingOrder="1"/>
    </xf>
    <xf numFmtId="0" fontId="27" fillId="0" borderId="0" xfId="0" applyFont="1"/>
    <xf numFmtId="164" fontId="17" fillId="0" borderId="4" xfId="0" applyNumberFormat="1" applyFont="1" applyFill="1" applyBorder="1" applyAlignment="1">
      <alignment horizontal="left"/>
    </xf>
    <xf numFmtId="164" fontId="17" fillId="0" borderId="5" xfId="0" applyNumberFormat="1" applyFont="1" applyFill="1" applyBorder="1" applyAlignment="1">
      <alignment horizontal="left"/>
    </xf>
    <xf numFmtId="164" fontId="17" fillId="0" borderId="6" xfId="0" applyNumberFormat="1" applyFont="1" applyFill="1" applyBorder="1" applyAlignment="1">
      <alignment horizontal="left"/>
    </xf>
    <xf numFmtId="164" fontId="5" fillId="0" borderId="4" xfId="0" applyNumberFormat="1" applyFont="1" applyFill="1" applyBorder="1" applyAlignment="1">
      <alignment horizontal="center"/>
    </xf>
    <xf numFmtId="164" fontId="5" fillId="0" borderId="5" xfId="0" applyNumberFormat="1" applyFont="1" applyFill="1" applyBorder="1" applyAlignment="1">
      <alignment horizontal="center"/>
    </xf>
    <xf numFmtId="164" fontId="5" fillId="0" borderId="6" xfId="0" applyNumberFormat="1" applyFont="1" applyFill="1" applyBorder="1" applyAlignment="1">
      <alignment horizontal="center"/>
    </xf>
    <xf numFmtId="6" fontId="5" fillId="0" borderId="4" xfId="0" applyNumberFormat="1" applyFont="1" applyFill="1" applyBorder="1" applyAlignment="1">
      <alignment horizontal="center"/>
    </xf>
    <xf numFmtId="6" fontId="5" fillId="0" borderId="5" xfId="0" applyNumberFormat="1" applyFont="1" applyFill="1" applyBorder="1" applyAlignment="1">
      <alignment horizontal="center"/>
    </xf>
    <xf numFmtId="6" fontId="5" fillId="0" borderId="6" xfId="0" applyNumberFormat="1" applyFont="1" applyFill="1" applyBorder="1" applyAlignment="1">
      <alignment horizontal="center"/>
    </xf>
    <xf numFmtId="0" fontId="5" fillId="0" borderId="1" xfId="0" applyNumberFormat="1" applyFont="1" applyBorder="1" applyAlignment="1">
      <alignment horizontal="center" wrapText="1"/>
    </xf>
    <xf numFmtId="164" fontId="5" fillId="0" borderId="1" xfId="0" applyNumberFormat="1" applyFont="1" applyBorder="1" applyAlignment="1">
      <alignment horizontal="center" wrapText="1"/>
    </xf>
    <xf numFmtId="6" fontId="5" fillId="0" borderId="10" xfId="0" applyNumberFormat="1" applyFont="1" applyFill="1" applyBorder="1" applyAlignment="1">
      <alignment horizontal="center"/>
    </xf>
    <xf numFmtId="0" fontId="0" fillId="0" borderId="7" xfId="0" applyBorder="1" applyAlignment="1">
      <alignment horizontal="left" vertical="center" wrapText="1"/>
    </xf>
    <xf numFmtId="0" fontId="0" fillId="0" borderId="0" xfId="0"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vertical="center" wrapText="1"/>
    </xf>
    <xf numFmtId="0" fontId="0" fillId="0" borderId="2" xfId="0" applyBorder="1" applyAlignment="1">
      <alignment vertical="center" wrapText="1"/>
    </xf>
    <xf numFmtId="0" fontId="0" fillId="0" borderId="13" xfId="0" applyBorder="1" applyAlignment="1">
      <alignment vertical="center" wrapText="1"/>
    </xf>
    <xf numFmtId="0" fontId="0" fillId="0" borderId="12" xfId="0" applyBorder="1" applyAlignment="1">
      <alignment horizontal="left" vertical="center" wrapText="1"/>
    </xf>
    <xf numFmtId="0" fontId="0" fillId="0" borderId="2" xfId="0" applyBorder="1" applyAlignment="1">
      <alignment horizontal="left" vertical="center" wrapText="1"/>
    </xf>
    <xf numFmtId="0" fontId="0" fillId="0" borderId="13" xfId="0" applyBorder="1" applyAlignment="1">
      <alignment horizontal="left" vertical="center" wrapText="1"/>
    </xf>
    <xf numFmtId="0" fontId="0" fillId="0" borderId="9" xfId="0" applyBorder="1" applyAlignment="1">
      <alignment horizontal="left" vertical="center"/>
    </xf>
    <xf numFmtId="0" fontId="0" fillId="0" borderId="8" xfId="0" applyBorder="1" applyAlignment="1">
      <alignment horizontal="left" vertical="center"/>
    </xf>
    <xf numFmtId="0" fontId="0" fillId="0" borderId="10" xfId="0" applyBorder="1" applyAlignment="1">
      <alignment horizontal="left" vertical="center"/>
    </xf>
    <xf numFmtId="0" fontId="0" fillId="0" borderId="7" xfId="0" applyBorder="1" applyAlignment="1">
      <alignment vertical="center" wrapText="1"/>
    </xf>
    <xf numFmtId="0" fontId="0" fillId="0" borderId="0" xfId="0" applyBorder="1" applyAlignment="1">
      <alignment vertical="center" wrapText="1"/>
    </xf>
    <xf numFmtId="0" fontId="0" fillId="0" borderId="11" xfId="0" applyBorder="1" applyAlignment="1">
      <alignment vertical="center" wrapText="1"/>
    </xf>
    <xf numFmtId="0" fontId="0" fillId="0" borderId="0" xfId="0" applyAlignment="1">
      <alignment horizontal="center" wrapText="1"/>
    </xf>
    <xf numFmtId="0" fontId="0" fillId="0" borderId="0" xfId="0" applyAlignment="1">
      <alignment horizontal="center"/>
    </xf>
    <xf numFmtId="0" fontId="5" fillId="4" borderId="2" xfId="0" applyFont="1" applyFill="1" applyBorder="1" applyAlignment="1">
      <alignment horizontal="center" vertical="center" wrapText="1"/>
    </xf>
    <xf numFmtId="6" fontId="0" fillId="0" borderId="0" xfId="0" applyNumberFormat="1" applyFill="1" applyBorder="1" applyAlignment="1">
      <alignment horizontal="center"/>
    </xf>
    <xf numFmtId="0" fontId="5" fillId="0" borderId="5" xfId="0" applyFont="1" applyBorder="1" applyAlignment="1">
      <alignment vertical="center" wrapText="1"/>
    </xf>
    <xf numFmtId="0" fontId="5" fillId="0" borderId="6" xfId="0" applyFont="1" applyBorder="1" applyAlignment="1">
      <alignmen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0" fillId="0" borderId="4" xfId="0" applyFont="1" applyBorder="1" applyAlignment="1">
      <alignment horizontal="left" vertical="center" wrapText="1"/>
    </xf>
    <xf numFmtId="0" fontId="0" fillId="0" borderId="5" xfId="0" applyFont="1" applyBorder="1" applyAlignment="1">
      <alignment horizontal="left" vertical="center" wrapText="1"/>
    </xf>
    <xf numFmtId="0" fontId="0" fillId="0" borderId="6" xfId="0" applyFont="1" applyBorder="1" applyAlignment="1">
      <alignment horizontal="left" vertical="center" wrapText="1"/>
    </xf>
    <xf numFmtId="0" fontId="0" fillId="0" borderId="0" xfId="0" applyFont="1" applyFill="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3" fillId="0" borderId="0" xfId="0" applyFont="1" applyAlignment="1">
      <alignment horizontal="right" vertical="center" indent="2"/>
    </xf>
    <xf numFmtId="0" fontId="28" fillId="0" borderId="4" xfId="0" applyFont="1" applyBorder="1" applyAlignment="1">
      <alignment horizontal="left" vertical="top" wrapText="1"/>
    </xf>
    <xf numFmtId="0" fontId="28" fillId="0" borderId="5" xfId="0" applyFont="1" applyBorder="1" applyAlignment="1">
      <alignment horizontal="left" vertical="top" wrapText="1"/>
    </xf>
    <xf numFmtId="0" fontId="28" fillId="0" borderId="6" xfId="0" applyFont="1" applyBorder="1" applyAlignment="1">
      <alignment horizontal="left" vertical="top" wrapText="1"/>
    </xf>
    <xf numFmtId="0" fontId="0" fillId="0" borderId="9" xfId="0" applyBorder="1" applyAlignment="1">
      <alignment horizontal="left" wrapText="1"/>
    </xf>
    <xf numFmtId="0" fontId="0" fillId="0" borderId="8" xfId="0" applyBorder="1" applyAlignment="1">
      <alignment horizontal="left" wrapText="1"/>
    </xf>
    <xf numFmtId="0" fontId="0" fillId="0" borderId="10" xfId="0" applyBorder="1" applyAlignment="1">
      <alignment horizontal="left" wrapText="1"/>
    </xf>
    <xf numFmtId="0" fontId="0" fillId="0" borderId="0" xfId="0" applyBorder="1" applyAlignment="1">
      <alignment horizontal="left" vertical="top" wrapText="1"/>
    </xf>
    <xf numFmtId="0" fontId="0" fillId="0" borderId="11" xfId="0" applyBorder="1" applyAlignment="1">
      <alignment horizontal="left" vertical="top" wrapText="1"/>
    </xf>
    <xf numFmtId="0" fontId="0" fillId="0" borderId="0" xfId="0" applyBorder="1" applyAlignment="1">
      <alignment horizontal="left" vertical="top"/>
    </xf>
    <xf numFmtId="0" fontId="0" fillId="0" borderId="11" xfId="0" applyBorder="1" applyAlignment="1">
      <alignment horizontal="left" vertical="top"/>
    </xf>
    <xf numFmtId="0" fontId="0" fillId="2" borderId="0" xfId="0" applyFont="1" applyFill="1" applyAlignment="1">
      <alignment horizontal="left" wrapText="1"/>
    </xf>
    <xf numFmtId="0" fontId="5" fillId="0" borderId="4" xfId="0" applyFont="1" applyBorder="1" applyAlignment="1">
      <alignment horizontal="left" vertical="center" wrapText="1"/>
    </xf>
    <xf numFmtId="6" fontId="0" fillId="4" borderId="2" xfId="0" applyNumberFormat="1" applyFill="1" applyBorder="1" applyAlignment="1">
      <alignment horizontal="center" vertical="center" wrapText="1"/>
    </xf>
    <xf numFmtId="6" fontId="0" fillId="4" borderId="0" xfId="0" applyNumberFormat="1" applyFill="1" applyBorder="1" applyAlignment="1">
      <alignment horizontal="center" vertical="center" wrapText="1"/>
    </xf>
    <xf numFmtId="6" fontId="0" fillId="0" borderId="4" xfId="0" applyNumberFormat="1" applyFill="1" applyBorder="1" applyAlignment="1">
      <alignment horizontal="center" vertical="center" wrapText="1"/>
    </xf>
    <xf numFmtId="6" fontId="0" fillId="0" borderId="5" xfId="0" applyNumberFormat="1" applyFill="1" applyBorder="1" applyAlignment="1">
      <alignment horizontal="center" vertical="center" wrapText="1"/>
    </xf>
    <xf numFmtId="6" fontId="0" fillId="0" borderId="6" xfId="0" applyNumberFormat="1" applyFill="1" applyBorder="1" applyAlignment="1">
      <alignment horizontal="center" vertical="center" wrapText="1"/>
    </xf>
    <xf numFmtId="0" fontId="0" fillId="0" borderId="0" xfId="0" applyBorder="1" applyAlignment="1">
      <alignment horizontal="center" wrapText="1"/>
    </xf>
    <xf numFmtId="1" fontId="0" fillId="0" borderId="3" xfId="0" applyNumberFormat="1" applyFont="1" applyBorder="1" applyAlignment="1">
      <alignment horizontal="right" vertical="center" wrapText="1"/>
    </xf>
    <xf numFmtId="1" fontId="0" fillId="0" borderId="15" xfId="0" applyNumberFormat="1" applyFont="1" applyBorder="1" applyAlignment="1">
      <alignment horizontal="right" vertical="center" wrapText="1"/>
    </xf>
    <xf numFmtId="0" fontId="24" fillId="0" borderId="3" xfId="0" applyFont="1" applyBorder="1" applyAlignment="1">
      <alignment horizontal="right" vertical="center" wrapText="1"/>
    </xf>
    <xf numFmtId="0" fontId="24" fillId="0" borderId="15" xfId="0" applyFont="1" applyBorder="1" applyAlignment="1">
      <alignment horizontal="right" vertical="center" wrapText="1"/>
    </xf>
    <xf numFmtId="164" fontId="0" fillId="0" borderId="4" xfId="0" applyNumberFormat="1" applyFont="1" applyFill="1" applyBorder="1" applyAlignment="1">
      <alignment horizontal="center" vertical="center"/>
    </xf>
    <xf numFmtId="164" fontId="0" fillId="0" borderId="5" xfId="0" applyNumberFormat="1" applyFont="1" applyFill="1" applyBorder="1" applyAlignment="1">
      <alignment horizontal="center" vertical="center"/>
    </xf>
    <xf numFmtId="164" fontId="0" fillId="0" borderId="6" xfId="0" applyNumberFormat="1" applyFont="1" applyFill="1" applyBorder="1" applyAlignment="1">
      <alignment horizontal="center" vertical="center"/>
    </xf>
    <xf numFmtId="164" fontId="5" fillId="0" borderId="1" xfId="0" applyNumberFormat="1" applyFont="1" applyBorder="1" applyAlignment="1">
      <alignment horizontal="center"/>
    </xf>
    <xf numFmtId="164" fontId="0"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0" fillId="0" borderId="1" xfId="0" applyBorder="1" applyAlignment="1">
      <alignment horizontal="center"/>
    </xf>
    <xf numFmtId="0" fontId="0" fillId="0" borderId="4" xfId="0" applyFill="1" applyBorder="1" applyAlignment="1">
      <alignment horizontal="center"/>
    </xf>
    <xf numFmtId="0" fontId="0" fillId="0" borderId="5" xfId="0" applyFill="1" applyBorder="1" applyAlignment="1">
      <alignment horizontal="center"/>
    </xf>
    <xf numFmtId="0" fontId="0" fillId="0" borderId="6" xfId="0" applyFill="1" applyBorder="1" applyAlignment="1">
      <alignment horizontal="center"/>
    </xf>
    <xf numFmtId="0" fontId="0" fillId="0" borderId="8" xfId="0" applyFont="1" applyFill="1" applyBorder="1" applyAlignment="1">
      <alignment horizontal="left" vertical="center" wrapText="1"/>
    </xf>
    <xf numFmtId="0" fontId="0" fillId="0" borderId="10" xfId="0" applyFont="1" applyFill="1" applyBorder="1" applyAlignment="1">
      <alignment horizontal="left" vertical="center" wrapText="1"/>
    </xf>
    <xf numFmtId="0" fontId="0" fillId="0" borderId="7"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11" xfId="0" applyFont="1" applyFill="1" applyBorder="1" applyAlignment="1">
      <alignment horizontal="left" vertical="center" wrapText="1"/>
    </xf>
    <xf numFmtId="0" fontId="0" fillId="0" borderId="12" xfId="0" applyFont="1"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13" xfId="0" applyFont="1" applyFill="1" applyBorder="1" applyAlignment="1">
      <alignment horizontal="left" vertical="center" wrapText="1"/>
    </xf>
    <xf numFmtId="0" fontId="0" fillId="0" borderId="9" xfId="0" applyFont="1" applyFill="1" applyBorder="1" applyAlignment="1">
      <alignment horizontal="left" vertical="center" wrapText="1"/>
    </xf>
    <xf numFmtId="6" fontId="0" fillId="0" borderId="1" xfId="0" applyNumberFormat="1" applyFill="1" applyBorder="1" applyAlignment="1">
      <alignment horizontal="center" vertical="center"/>
    </xf>
    <xf numFmtId="0" fontId="0" fillId="0" borderId="2" xfId="0" applyBorder="1" applyAlignment="1">
      <alignment horizontal="center"/>
    </xf>
    <xf numFmtId="0" fontId="0" fillId="0" borderId="13" xfId="0" applyBorder="1" applyAlignment="1">
      <alignment horizontal="center"/>
    </xf>
    <xf numFmtId="0" fontId="0" fillId="0" borderId="12" xfId="0" applyBorder="1" applyAlignment="1">
      <alignment horizontal="center"/>
    </xf>
    <xf numFmtId="0" fontId="0" fillId="0" borderId="13" xfId="0" applyBorder="1" applyAlignment="1"/>
    <xf numFmtId="7" fontId="0" fillId="0" borderId="0" xfId="0" applyNumberFormat="1"/>
    <xf numFmtId="0" fontId="29" fillId="0" borderId="0" xfId="0" applyFont="1"/>
    <xf numFmtId="0" fontId="0" fillId="8" borderId="0" xfId="0" applyFill="1"/>
    <xf numFmtId="7" fontId="0" fillId="0" borderId="0" xfId="0" applyNumberFormat="1" applyFill="1"/>
    <xf numFmtId="0" fontId="0" fillId="9" borderId="0" xfId="0" applyFill="1"/>
    <xf numFmtId="0" fontId="0" fillId="10" borderId="0" xfId="0" applyFill="1"/>
    <xf numFmtId="0" fontId="0" fillId="11" borderId="0" xfId="0" applyFill="1"/>
    <xf numFmtId="0" fontId="0" fillId="4" borderId="0" xfId="0" applyFill="1"/>
    <xf numFmtId="0" fontId="0" fillId="12" borderId="0" xfId="0" applyFill="1"/>
    <xf numFmtId="0" fontId="0" fillId="13" borderId="0" xfId="0" applyFill="1"/>
    <xf numFmtId="167" fontId="0" fillId="0" borderId="0" xfId="0" applyNumberFormat="1"/>
    <xf numFmtId="0" fontId="3" fillId="0" borderId="9" xfId="0" applyFont="1" applyBorder="1"/>
    <xf numFmtId="0" fontId="0" fillId="0" borderId="8" xfId="0" applyBorder="1"/>
    <xf numFmtId="0" fontId="0" fillId="0" borderId="10" xfId="0" applyBorder="1"/>
    <xf numFmtId="10" fontId="0" fillId="0" borderId="0" xfId="1" applyNumberFormat="1" applyFont="1" applyBorder="1" applyAlignment="1">
      <alignment horizontal="center"/>
    </xf>
    <xf numFmtId="0" fontId="0" fillId="0" borderId="7" xfId="0" applyBorder="1"/>
    <xf numFmtId="49" fontId="1" fillId="0" borderId="0" xfId="0" applyNumberFormat="1" applyFont="1" applyBorder="1" applyAlignment="1">
      <alignment horizontal="center"/>
    </xf>
    <xf numFmtId="49" fontId="1" fillId="0" borderId="11" xfId="0" applyNumberFormat="1" applyFont="1" applyBorder="1" applyAlignment="1">
      <alignment horizontal="center"/>
    </xf>
    <xf numFmtId="10" fontId="0" fillId="0" borderId="0" xfId="0" applyNumberFormat="1" applyBorder="1"/>
    <xf numFmtId="10" fontId="0" fillId="0" borderId="1" xfId="1" applyNumberFormat="1" applyFont="1" applyBorder="1" applyAlignment="1">
      <alignment horizontal="center"/>
    </xf>
    <xf numFmtId="164" fontId="0" fillId="0" borderId="0" xfId="0" applyNumberFormat="1" applyFont="1" applyBorder="1" applyAlignment="1">
      <alignment horizontal="right"/>
    </xf>
    <xf numFmtId="5" fontId="0" fillId="0" borderId="0" xfId="0" applyNumberFormat="1" applyAlignment="1">
      <alignment horizontal="center"/>
    </xf>
    <xf numFmtId="6" fontId="5" fillId="0" borderId="11" xfId="0" applyNumberFormat="1" applyFont="1" applyBorder="1" applyAlignment="1">
      <alignment horizontal="center"/>
    </xf>
    <xf numFmtId="170" fontId="0" fillId="0" borderId="0" xfId="0" applyNumberFormat="1" applyFill="1" applyBorder="1" applyAlignment="1">
      <alignment horizontal="center"/>
    </xf>
    <xf numFmtId="5" fontId="0" fillId="0" borderId="0" xfId="0" applyNumberFormat="1" applyBorder="1" applyAlignment="1">
      <alignment horizontal="center"/>
    </xf>
    <xf numFmtId="170" fontId="0" fillId="0" borderId="0" xfId="0" applyNumberFormat="1" applyBorder="1" applyAlignment="1">
      <alignment horizontal="center"/>
    </xf>
    <xf numFmtId="5" fontId="0" fillId="0" borderId="0" xfId="0" applyNumberFormat="1" applyFill="1" applyBorder="1" applyAlignment="1">
      <alignment horizontal="center"/>
    </xf>
    <xf numFmtId="6" fontId="5" fillId="0" borderId="11" xfId="0" applyNumberFormat="1" applyFont="1" applyFill="1" applyBorder="1" applyAlignment="1">
      <alignment horizontal="center"/>
    </xf>
    <xf numFmtId="6" fontId="0" fillId="0" borderId="11" xfId="0" applyNumberFormat="1" applyBorder="1" applyAlignment="1">
      <alignment horizontal="center"/>
    </xf>
    <xf numFmtId="0" fontId="0" fillId="0" borderId="12" xfId="0" applyBorder="1"/>
    <xf numFmtId="164" fontId="0" fillId="0" borderId="2" xfId="0" applyNumberFormat="1" applyFont="1" applyBorder="1" applyAlignment="1">
      <alignment horizontal="right"/>
    </xf>
    <xf numFmtId="164" fontId="0" fillId="0" borderId="2" xfId="0" applyNumberFormat="1" applyBorder="1" applyAlignment="1">
      <alignment horizontal="center"/>
    </xf>
    <xf numFmtId="6" fontId="5" fillId="0" borderId="2" xfId="0" applyNumberFormat="1" applyFont="1" applyFill="1" applyBorder="1" applyAlignment="1">
      <alignment horizontal="center"/>
    </xf>
    <xf numFmtId="6" fontId="0" fillId="0" borderId="2" xfId="0" applyNumberFormat="1" applyFill="1" applyBorder="1" applyAlignment="1">
      <alignment horizontal="center"/>
    </xf>
    <xf numFmtId="5" fontId="0" fillId="0" borderId="2" xfId="0" applyNumberFormat="1" applyFill="1" applyBorder="1" applyAlignment="1">
      <alignment horizontal="center"/>
    </xf>
    <xf numFmtId="6" fontId="0" fillId="0" borderId="13" xfId="0" applyNumberFormat="1" applyBorder="1" applyAlignment="1">
      <alignment horizontal="center"/>
    </xf>
    <xf numFmtId="6" fontId="5" fillId="0" borderId="2" xfId="0" applyNumberFormat="1" applyFont="1" applyBorder="1" applyAlignment="1">
      <alignment horizontal="center"/>
    </xf>
    <xf numFmtId="5" fontId="0" fillId="0" borderId="2" xfId="0" applyNumberFormat="1" applyBorder="1" applyAlignment="1">
      <alignment horizontal="center"/>
    </xf>
    <xf numFmtId="164" fontId="0" fillId="0" borderId="0" xfId="0" applyNumberFormat="1" applyFill="1" applyBorder="1" applyAlignment="1">
      <alignment horizontal="right"/>
    </xf>
    <xf numFmtId="10" fontId="0" fillId="0" borderId="0" xfId="0" applyNumberFormat="1" applyAlignment="1">
      <alignment horizontal="center"/>
    </xf>
    <xf numFmtId="0" fontId="30" fillId="2" borderId="9" xfId="0" applyFont="1" applyFill="1" applyBorder="1"/>
    <xf numFmtId="0" fontId="30" fillId="2" borderId="8" xfId="0" applyFont="1" applyFill="1" applyBorder="1"/>
    <xf numFmtId="170" fontId="5" fillId="0" borderId="0" xfId="2" applyNumberFormat="1" applyFont="1" applyFill="1" applyBorder="1" applyAlignment="1">
      <alignment horizontal="center"/>
    </xf>
    <xf numFmtId="164" fontId="0" fillId="0" borderId="0" xfId="0" applyNumberFormat="1" applyFont="1" applyFill="1" applyBorder="1" applyAlignment="1">
      <alignment horizontal="right"/>
    </xf>
    <xf numFmtId="6" fontId="5" fillId="0" borderId="13" xfId="0" applyNumberFormat="1" applyFont="1" applyBorder="1" applyAlignment="1">
      <alignment horizontal="center"/>
    </xf>
    <xf numFmtId="7" fontId="0" fillId="0" borderId="0" xfId="0" applyNumberFormat="1" applyBorder="1"/>
    <xf numFmtId="6" fontId="5" fillId="0" borderId="13" xfId="0" applyNumberFormat="1" applyFont="1" applyFill="1" applyBorder="1" applyAlignment="1">
      <alignment horizontal="center"/>
    </xf>
  </cellXfs>
  <cellStyles count="3">
    <cellStyle name="Comma" xfId="2" builtinId="3"/>
    <cellStyle name="Normal" xfId="0" builtinId="0"/>
    <cellStyle name="Percent" xfId="1" builtinId="5"/>
  </cellStyles>
  <dxfs count="0"/>
  <tableStyles count="0" defaultTableStyle="TableStyleMedium2" defaultPivotStyle="PivotStyleLight16"/>
  <colors>
    <mruColors>
      <color rgb="FFFFFFFF"/>
      <color rgb="FF4472C4"/>
      <color rgb="FFEB8D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baseline="0">
                <a:solidFill>
                  <a:sysClr val="windowText" lastClr="000000"/>
                </a:solidFill>
              </a:rPr>
              <a:t>Allocation A and B</a:t>
            </a:r>
            <a:endParaRPr lang="en-US">
              <a:solidFill>
                <a:sysClr val="windowText" lastClr="000000"/>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'Cost Allocation'!$W$119</c:f>
              <c:strCache>
                <c:ptCount val="1"/>
                <c:pt idx="0">
                  <c:v>A</c:v>
                </c:pt>
              </c:strCache>
            </c:strRef>
          </c:tx>
          <c:spPr>
            <a:solidFill>
              <a:schemeClr val="accent1"/>
            </a:solidFill>
            <a:ln>
              <a:noFill/>
            </a:ln>
            <a:effectLst/>
          </c:spPr>
          <c:invertIfNegative val="0"/>
          <c:cat>
            <c:strRef>
              <c:f>'Cost Allocation'!$X$117:$AA$118</c:f>
              <c:strCache>
                <c:ptCount val="4"/>
                <c:pt idx="0">
                  <c:v>PGE TSP</c:v>
                </c:pt>
                <c:pt idx="1">
                  <c:v>Q6 Incremental PAC BAA LSEs Load</c:v>
                </c:pt>
                <c:pt idx="2">
                  <c:v>Q6 WY Wind (New)</c:v>
                </c:pt>
                <c:pt idx="3">
                  <c:v>Q6 Incremental WY Gen (Existing)</c:v>
                </c:pt>
              </c:strCache>
            </c:strRef>
          </c:cat>
          <c:val>
            <c:numRef>
              <c:f>'Cost Allocation'!$X$119:$AA$119</c:f>
              <c:numCache>
                <c:formatCode>"$"#,##0_);[Red]\("$"#,##0\)</c:formatCode>
                <c:ptCount val="4"/>
                <c:pt idx="0">
                  <c:v>587263.46359057981</c:v>
                </c:pt>
                <c:pt idx="1">
                  <c:v>1367162656.4134932</c:v>
                </c:pt>
                <c:pt idx="2">
                  <c:v>541179642.41174614</c:v>
                </c:pt>
                <c:pt idx="3">
                  <c:v>835097431.7111702</c:v>
                </c:pt>
              </c:numCache>
            </c:numRef>
          </c:val>
        </c:ser>
        <c:ser>
          <c:idx val="1"/>
          <c:order val="1"/>
          <c:tx>
            <c:strRef>
              <c:f>'Cost Allocation'!$W$120</c:f>
              <c:strCache>
                <c:ptCount val="1"/>
                <c:pt idx="0">
                  <c:v>B</c:v>
                </c:pt>
              </c:strCache>
            </c:strRef>
          </c:tx>
          <c:spPr>
            <a:solidFill>
              <a:schemeClr val="accent2"/>
            </a:solidFill>
            <a:ln>
              <a:noFill/>
            </a:ln>
            <a:effectLst/>
          </c:spPr>
          <c:invertIfNegative val="0"/>
          <c:cat>
            <c:strRef>
              <c:f>'Cost Allocation'!$X$117:$AA$118</c:f>
              <c:strCache>
                <c:ptCount val="4"/>
                <c:pt idx="0">
                  <c:v>PGE TSP</c:v>
                </c:pt>
                <c:pt idx="1">
                  <c:v>Q6 Incremental PAC BAA LSEs Load</c:v>
                </c:pt>
                <c:pt idx="2">
                  <c:v>Q6 WY Wind (New)</c:v>
                </c:pt>
                <c:pt idx="3">
                  <c:v>Q6 Incremental WY Gen (Existing)</c:v>
                </c:pt>
              </c:strCache>
            </c:strRef>
          </c:cat>
          <c:val>
            <c:numRef>
              <c:f>'Cost Allocation'!$X$120:$AA$120</c:f>
              <c:numCache>
                <c:formatCode>"$"#,##0_);[Red]\("$"#,##0\)</c:formatCode>
                <c:ptCount val="4"/>
                <c:pt idx="0">
                  <c:v>376293.35445273103</c:v>
                </c:pt>
                <c:pt idx="1">
                  <c:v>876019459.67985487</c:v>
                </c:pt>
                <c:pt idx="2">
                  <c:v>346764809.37458408</c:v>
                </c:pt>
                <c:pt idx="3">
                  <c:v>535094780.03646976</c:v>
                </c:pt>
              </c:numCache>
            </c:numRef>
          </c:val>
        </c:ser>
        <c:dLbls>
          <c:showLegendKey val="0"/>
          <c:showVal val="0"/>
          <c:showCatName val="0"/>
          <c:showSerName val="0"/>
          <c:showPercent val="0"/>
          <c:showBubbleSize val="0"/>
        </c:dLbls>
        <c:gapWidth val="219"/>
        <c:overlap val="-27"/>
        <c:axId val="253916440"/>
        <c:axId val="253916832"/>
      </c:barChart>
      <c:catAx>
        <c:axId val="253916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253916832"/>
        <c:crosses val="autoZero"/>
        <c:auto val="1"/>
        <c:lblAlgn val="ctr"/>
        <c:lblOffset val="100"/>
        <c:noMultiLvlLbl val="0"/>
      </c:catAx>
      <c:valAx>
        <c:axId val="253916832"/>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253916440"/>
        <c:crosses val="autoZero"/>
        <c:crossBetween val="between"/>
        <c:dispUnits>
          <c:builtInUnit val="millions"/>
          <c:dispUnitsLbl>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dispUnitsLbl>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n-US">
                <a:solidFill>
                  <a:schemeClr val="tx1"/>
                </a:solidFill>
              </a:rPr>
              <a:t>Capital Cost and Benefit in M$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n-US"/>
        </a:p>
      </c:txPr>
    </c:title>
    <c:autoTitleDeleted val="0"/>
    <c:plotArea>
      <c:layout/>
      <c:barChart>
        <c:barDir val="col"/>
        <c:grouping val="stacked"/>
        <c:varyColors val="0"/>
        <c:ser>
          <c:idx val="0"/>
          <c:order val="0"/>
          <c:tx>
            <c:strRef>
              <c:f>'Tables for DFRTP'!$AC$6</c:f>
              <c:strCache>
                <c:ptCount val="1"/>
                <c:pt idx="0">
                  <c:v>New Q4 Gen</c:v>
                </c:pt>
              </c:strCache>
            </c:strRef>
          </c:tx>
          <c:spPr>
            <a:solidFill>
              <a:srgbClr val="4472C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'Tables for DFRTP'!$AD$5:$AG$5</c15:sqref>
                  </c15:fullRef>
                </c:ext>
              </c:extLst>
              <c:f>'Tables for DFRTP'!$AD$5:$AF$5</c:f>
              <c:strCache>
                <c:ptCount val="2"/>
                <c:pt idx="0">
                  <c:v>Q1 IRTP Updated</c:v>
                </c:pt>
                <c:pt idx="1">
                  <c:v>Q6 DFRTP</c:v>
                </c:pt>
              </c:strCache>
            </c:strRef>
          </c:cat>
          <c:val>
            <c:numRef>
              <c:extLst>
                <c:ext xmlns:c15="http://schemas.microsoft.com/office/drawing/2012/chart" uri="{02D57815-91ED-43cb-92C2-25804820EDAC}">
                  <c15:fullRef>
                    <c15:sqref>'Tables for DFRTP'!$AD$6:$AG$6</c15:sqref>
                  </c15:fullRef>
                </c:ext>
              </c:extLst>
              <c:f>'Tables for DFRTP'!$AD$6:$AF$6</c:f>
              <c:numCache>
                <c:formatCode>#,##0</c:formatCode>
                <c:ptCount val="3"/>
              </c:numCache>
            </c:numRef>
          </c:val>
        </c:ser>
        <c:ser>
          <c:idx val="1"/>
          <c:order val="1"/>
          <c:tx>
            <c:strRef>
              <c:f>'Tables for DFRTP'!$AC$7</c:f>
              <c:strCache>
                <c:ptCount val="1"/>
                <c:pt idx="0">
                  <c:v>Inc Q6 Gen &amp; Ld</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'Tables for DFRTP'!$AD$5:$AG$5</c15:sqref>
                  </c15:fullRef>
                </c:ext>
              </c:extLst>
              <c:f>'Tables for DFRTP'!$AD$5:$AF$5</c:f>
              <c:strCache>
                <c:ptCount val="2"/>
                <c:pt idx="0">
                  <c:v>Q1 IRTP Updated</c:v>
                </c:pt>
                <c:pt idx="1">
                  <c:v>Q6 DFRTP</c:v>
                </c:pt>
              </c:strCache>
            </c:strRef>
          </c:cat>
          <c:val>
            <c:numRef>
              <c:extLst>
                <c:ext xmlns:c15="http://schemas.microsoft.com/office/drawing/2012/chart" uri="{02D57815-91ED-43cb-92C2-25804820EDAC}">
                  <c15:fullRef>
                    <c15:sqref>'Tables for DFRTP'!$AD$7:$AG$7</c15:sqref>
                  </c15:fullRef>
                </c:ext>
              </c:extLst>
              <c:f>'Tables for DFRTP'!$AD$7:$AF$7</c:f>
              <c:numCache>
                <c:formatCode>#,##0</c:formatCode>
                <c:ptCount val="3"/>
              </c:numCache>
            </c:numRef>
          </c:val>
        </c:ser>
        <c:ser>
          <c:idx val="5"/>
          <c:order val="2"/>
          <c:tx>
            <c:strRef>
              <c:f>'Tables for DFRTP'!$AC$10</c:f>
              <c:strCache>
                <c:ptCount val="1"/>
                <c:pt idx="0">
                  <c:v>Q6 Alt Proj Cost</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'Tables for DFRTP'!$AD$5:$AG$5</c15:sqref>
                  </c15:fullRef>
                </c:ext>
              </c:extLst>
              <c:f>'Tables for DFRTP'!$AD$5:$AF$5</c:f>
              <c:strCache>
                <c:ptCount val="2"/>
                <c:pt idx="0">
                  <c:v>Q1 IRTP Updated</c:v>
                </c:pt>
                <c:pt idx="1">
                  <c:v>Q6 DFRTP</c:v>
                </c:pt>
              </c:strCache>
            </c:strRef>
          </c:cat>
          <c:val>
            <c:numRef>
              <c:extLst>
                <c:ext xmlns:c15="http://schemas.microsoft.com/office/drawing/2012/chart" uri="{02D57815-91ED-43cb-92C2-25804820EDAC}">
                  <c15:fullRef>
                    <c15:sqref>'Tables for DFRTP'!$AD$10:$AG$10</c15:sqref>
                  </c15:fullRef>
                </c:ext>
              </c:extLst>
              <c:f>'Tables for DFRTP'!$AD$10:$AF$10</c:f>
              <c:numCache>
                <c:formatCode>#,##0</c:formatCode>
                <c:ptCount val="3"/>
                <c:pt idx="1">
                  <c:v>2744026994</c:v>
                </c:pt>
              </c:numCache>
            </c:numRef>
          </c:val>
        </c:ser>
        <c:ser>
          <c:idx val="4"/>
          <c:order val="3"/>
          <c:tx>
            <c:strRef>
              <c:f>'Tables for DFRTP'!$AC$9</c:f>
              <c:strCache>
                <c:ptCount val="1"/>
                <c:pt idx="0">
                  <c:v>Q4 Alt Proj Cost</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'Tables for DFRTP'!$AD$5:$AG$5</c15:sqref>
                  </c15:fullRef>
                </c:ext>
              </c:extLst>
              <c:f>'Tables for DFRTP'!$AD$5:$AF$5</c:f>
              <c:strCache>
                <c:ptCount val="2"/>
                <c:pt idx="0">
                  <c:v>Q1 IRTP Updated</c:v>
                </c:pt>
                <c:pt idx="1">
                  <c:v>Q6 DFRTP</c:v>
                </c:pt>
              </c:strCache>
            </c:strRef>
          </c:cat>
          <c:val>
            <c:numRef>
              <c:extLst>
                <c:ext xmlns:c15="http://schemas.microsoft.com/office/drawing/2012/chart" uri="{02D57815-91ED-43cb-92C2-25804820EDAC}">
                  <c15:fullRef>
                    <c15:sqref>'Tables for DFRTP'!$AD$9:$AG$9</c15:sqref>
                  </c15:fullRef>
                </c:ext>
              </c:extLst>
              <c:f>'Tables for DFRTP'!$AD$9:$AF$9</c:f>
              <c:numCache>
                <c:formatCode>#,##0</c:formatCode>
                <c:ptCount val="3"/>
              </c:numCache>
            </c:numRef>
          </c:val>
        </c:ser>
        <c:ser>
          <c:idx val="3"/>
          <c:order val="4"/>
          <c:tx>
            <c:strRef>
              <c:f>'Tables for DFRTP'!$AC$8</c:f>
              <c:strCache>
                <c:ptCount val="1"/>
                <c:pt idx="0">
                  <c:v>Q1 IRTP Cost</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'Tables for DFRTP'!$AD$5:$AG$5</c15:sqref>
                  </c15:fullRef>
                </c:ext>
              </c:extLst>
              <c:f>'Tables for DFRTP'!$AD$5:$AF$5</c:f>
              <c:strCache>
                <c:ptCount val="2"/>
                <c:pt idx="0">
                  <c:v>Q1 IRTP Updated</c:v>
                </c:pt>
                <c:pt idx="1">
                  <c:v>Q6 DFRTP</c:v>
                </c:pt>
              </c:strCache>
            </c:strRef>
          </c:cat>
          <c:val>
            <c:numRef>
              <c:extLst>
                <c:ext xmlns:c15="http://schemas.microsoft.com/office/drawing/2012/chart" uri="{02D57815-91ED-43cb-92C2-25804820EDAC}">
                  <c15:fullRef>
                    <c15:sqref>'Tables for DFRTP'!$AD$8:$AG$8</c15:sqref>
                  </c15:fullRef>
                </c:ext>
              </c:extLst>
              <c:f>'Tables for DFRTP'!$AD$8:$AF$8</c:f>
              <c:numCache>
                <c:formatCode>#,##0</c:formatCode>
                <c:ptCount val="3"/>
                <c:pt idx="0">
                  <c:v>5877693948</c:v>
                </c:pt>
              </c:numCache>
            </c:numRef>
          </c:val>
        </c:ser>
        <c:ser>
          <c:idx val="2"/>
          <c:order val="5"/>
          <c:tx>
            <c:strRef>
              <c:f>'Tables for DFRTP'!$AC$11</c:f>
              <c:strCache>
                <c:ptCount val="1"/>
                <c:pt idx="0">
                  <c:v>Savings (Benefit)</c:v>
                </c:pt>
              </c:strCache>
            </c:strRef>
          </c:tx>
          <c:spPr>
            <a:solidFill>
              <a:schemeClr val="accent3"/>
            </a:solidFill>
            <a:ln>
              <a:noFill/>
            </a:ln>
            <a:effectLst/>
          </c:spPr>
          <c:invertIfNegative val="0"/>
          <c:dLbls>
            <c:spPr>
              <a:no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dLblPos val="ctr"/>
            <c:showLegendKey val="0"/>
            <c:showVal val="1"/>
            <c:showCatName val="0"/>
            <c:showSerName val="1"/>
            <c:showPercent val="0"/>
            <c:showBubbleSize val="0"/>
            <c:separator>
</c:separator>
            <c:showLeaderLines val="0"/>
            <c:extLst>
              <c:ext xmlns:c15="http://schemas.microsoft.com/office/drawing/2012/chart" uri="{CE6537A1-D6FC-4f65-9D91-7224C49458BB}">
                <c15:spPr xmlns:c15="http://schemas.microsoft.com/office/drawing/2012/chart">
                  <a:prstGeom prst="rect">
                    <a:avLst/>
                  </a:prstGeom>
                  <a:noFill/>
                  <a:ln>
                    <a:noFill/>
                  </a:ln>
                </c15:spPr>
                <c15:showLeaderLines val="0"/>
              </c:ext>
            </c:extLst>
          </c:dLbls>
          <c:cat>
            <c:strRef>
              <c:extLst>
                <c:ext xmlns:c15="http://schemas.microsoft.com/office/drawing/2012/chart" uri="{02D57815-91ED-43cb-92C2-25804820EDAC}">
                  <c15:fullRef>
                    <c15:sqref>'Tables for DFRTP'!$AD$5:$AG$5</c15:sqref>
                  </c15:fullRef>
                </c:ext>
              </c:extLst>
              <c:f>'Tables for DFRTP'!$AD$5:$AF$5</c:f>
              <c:strCache>
                <c:ptCount val="2"/>
                <c:pt idx="0">
                  <c:v>Q1 IRTP Updated</c:v>
                </c:pt>
                <c:pt idx="1">
                  <c:v>Q6 DFRTP</c:v>
                </c:pt>
              </c:strCache>
            </c:strRef>
          </c:cat>
          <c:val>
            <c:numRef>
              <c:extLst>
                <c:ext xmlns:c15="http://schemas.microsoft.com/office/drawing/2012/chart" uri="{02D57815-91ED-43cb-92C2-25804820EDAC}">
                  <c15:fullRef>
                    <c15:sqref>'Tables for DFRTP'!$AD$11:$AG$11</c15:sqref>
                  </c15:fullRef>
                </c:ext>
              </c:extLst>
              <c:f>'Tables for DFRTP'!$AD$11:$AF$11</c:f>
              <c:numCache>
                <c:formatCode>#,##0</c:formatCode>
                <c:ptCount val="3"/>
                <c:pt idx="1">
                  <c:v>3133666954</c:v>
                </c:pt>
              </c:numCache>
            </c:numRef>
          </c:val>
        </c:ser>
        <c:dLbls>
          <c:dLblPos val="ctr"/>
          <c:showLegendKey val="0"/>
          <c:showVal val="1"/>
          <c:showCatName val="0"/>
          <c:showSerName val="0"/>
          <c:showPercent val="0"/>
          <c:showBubbleSize val="0"/>
        </c:dLbls>
        <c:gapWidth val="150"/>
        <c:overlap val="100"/>
        <c:axId val="251694168"/>
        <c:axId val="251694952"/>
        <c:extLst>
          <c:ext xmlns:c15="http://schemas.microsoft.com/office/drawing/2012/chart" uri="{02D57815-91ED-43cb-92C2-25804820EDAC}">
            <c15:filteredBarSeries>
              <c15:ser>
                <c:idx val="6"/>
                <c:order val="6"/>
                <c:tx>
                  <c:strRef>
                    <c:extLst>
                      <c:ext uri="{02D57815-91ED-43cb-92C2-25804820EDAC}">
                        <c15:formulaRef>
                          <c15:sqref>'Tables for DFRTP'!$AC$11</c15:sqref>
                        </c15:formulaRef>
                      </c:ext>
                    </c:extLst>
                    <c:strCache>
                      <c:ptCount val="1"/>
                      <c:pt idx="0">
                        <c:v>Savings (Benefit)</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0"/>
                  <c:showCatName val="0"/>
                  <c:showSerName val="1"/>
                  <c:showPercent val="0"/>
                  <c:showBubbleSize val="0"/>
                  <c:showLeaderLines val="0"/>
                  <c:extLst>
                    <c:ext uri="{CE6537A1-D6FC-4f65-9D91-7224C49458BB}">
                      <c15:showLeaderLines val="0"/>
                    </c:ext>
                  </c:extLst>
                </c:dLbls>
                <c:val>
                  <c:numRef>
                    <c:extLst>
                      <c:ext uri="{02D57815-91ED-43cb-92C2-25804820EDAC}">
                        <c15:fullRef>
                          <c15:sqref>'Tables for DFRTP'!$AD$53:$AG$53</c15:sqref>
                        </c15:fullRef>
                        <c15:formulaRef>
                          <c15:sqref>'Tables for DFRTP'!$AD$53:$AF$53</c15:sqref>
                        </c15:formulaRef>
                      </c:ext>
                    </c:extLst>
                    <c:numCache>
                      <c:formatCode>General</c:formatCode>
                      <c:ptCount val="3"/>
                    </c:numCache>
                  </c:numRef>
                </c:val>
              </c15:ser>
            </c15:filteredBarSeries>
          </c:ext>
        </c:extLst>
      </c:barChart>
      <c:catAx>
        <c:axId val="251694168"/>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51694952"/>
        <c:crosses val="autoZero"/>
        <c:auto val="1"/>
        <c:lblAlgn val="ctr"/>
        <c:lblOffset val="100"/>
        <c:noMultiLvlLbl val="0"/>
      </c:catAx>
      <c:valAx>
        <c:axId val="251694952"/>
        <c:scaling>
          <c:orientation val="minMax"/>
        </c:scaling>
        <c:delete val="1"/>
        <c:axPos val="l"/>
        <c:numFmt formatCode="#,##0" sourceLinked="1"/>
        <c:majorTickMark val="none"/>
        <c:minorTickMark val="none"/>
        <c:tickLblPos val="nextTo"/>
        <c:crossAx val="251694168"/>
        <c:crosses val="autoZero"/>
        <c:crossBetween val="between"/>
        <c:dispUnits>
          <c:builtInUnit val="millions"/>
          <c:dispUnitsLbl>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dispUnitsLbl>
        </c:dispUnits>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a:solidFill>
                  <a:sysClr val="windowText" lastClr="000000"/>
                </a:solidFill>
              </a:rPr>
              <a:t>Capital Cost M$ and Beneficiaries</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stacked"/>
        <c:varyColors val="0"/>
        <c:ser>
          <c:idx val="0"/>
          <c:order val="0"/>
          <c:tx>
            <c:strRef>
              <c:f>'Tables for DFRTP'!$J$14</c:f>
              <c:strCache>
                <c:ptCount val="1"/>
                <c:pt idx="0">
                  <c:v>Non-Committed IRP Projects </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'Tables for DFRTP'!$K$13:$M$13</c:f>
              <c:strCache>
                <c:ptCount val="3"/>
                <c:pt idx="0">
                  <c:v>IRTP</c:v>
                </c:pt>
                <c:pt idx="1">
                  <c:v>DFRTP</c:v>
                </c:pt>
                <c:pt idx="2">
                  <c:v>Beneficiaries</c:v>
                </c:pt>
              </c:strCache>
            </c:strRef>
          </c:cat>
          <c:val>
            <c:numRef>
              <c:f>'Tables for DFRTP'!$K$14:$M$14</c:f>
              <c:numCache>
                <c:formatCode>"$"#,##0.00</c:formatCode>
                <c:ptCount val="3"/>
                <c:pt idx="0">
                  <c:v>5.8776939480000001</c:v>
                </c:pt>
              </c:numCache>
            </c:numRef>
          </c:val>
        </c:ser>
        <c:ser>
          <c:idx val="6"/>
          <c:order val="1"/>
          <c:tx>
            <c:strRef>
              <c:f>'Tables for DFRTP'!$J$20</c:f>
              <c:strCache>
                <c:ptCount val="1"/>
                <c:pt idx="0">
                  <c:v>Non-Committed Proj No Cost Alloc</c:v>
                </c:pt>
              </c:strCache>
            </c:strRef>
          </c:tx>
          <c:spPr>
            <a:solidFill>
              <a:schemeClr val="accent2">
                <a:lumMod val="60000"/>
                <a:lumOff val="40000"/>
              </a:schemeClr>
            </a:solidFill>
            <a:ln>
              <a:noFill/>
            </a:ln>
            <a:effectLst/>
          </c:spPr>
          <c:invertIfNegative val="0"/>
          <c:dPt>
            <c:idx val="2"/>
            <c:invertIfNegative val="0"/>
            <c:bubble3D val="0"/>
            <c:spPr>
              <a:noFill/>
              <a:ln>
                <a:noFill/>
              </a:ln>
              <a:effectLst/>
            </c:spPr>
          </c:dPt>
          <c:dLbls>
            <c:dLbl>
              <c:idx val="2"/>
              <c:layout>
                <c:manualLayout>
                  <c:x val="-1.0222714034771955E-16"/>
                  <c:y val="7.705214276245138E-3"/>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1"/>
              <c:showPercent val="0"/>
              <c:showBubbleSize val="0"/>
              <c:separator>
</c:separator>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'Tables for DFRTP'!$K$20:$M$20</c:f>
              <c:numCache>
                <c:formatCode>"$"#,##0.00</c:formatCode>
                <c:ptCount val="3"/>
                <c:pt idx="1">
                  <c:v>1.2</c:v>
                </c:pt>
                <c:pt idx="2" formatCode="&quot;$&quot;#,##0">
                  <c:v>1.2</c:v>
                </c:pt>
              </c:numCache>
            </c:numRef>
          </c:val>
        </c:ser>
        <c:ser>
          <c:idx val="4"/>
          <c:order val="2"/>
          <c:tx>
            <c:strRef>
              <c:f>'Tables for DFRTP'!$J$18</c:f>
              <c:strCache>
                <c:ptCount val="1"/>
                <c:pt idx="0">
                  <c:v>Non-Commited w/Cost Alloc</c:v>
                </c:pt>
              </c:strCache>
            </c:strRef>
          </c:tx>
          <c:spPr>
            <a:solidFill>
              <a:schemeClr val="accent5"/>
            </a:solidFill>
            <a:ln>
              <a:noFill/>
            </a:ln>
            <a:effectLst/>
          </c:spPr>
          <c:invertIfNegative val="0"/>
          <c:dPt>
            <c:idx val="2"/>
            <c:invertIfNegative val="0"/>
            <c:bubble3D val="0"/>
            <c:spPr>
              <a:noFill/>
              <a:ln>
                <a:noFill/>
              </a:ln>
              <a:effectLst/>
            </c:spPr>
          </c:dPt>
          <c:dLbls>
            <c:dLbl>
              <c:idx val="2"/>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noFill/>
                      <a:latin typeface="+mn-lt"/>
                      <a:ea typeface="+mn-ea"/>
                      <a:cs typeface="+mn-cs"/>
                    </a:defRPr>
                  </a:pPr>
                  <a:endParaRPr lang="en-US"/>
                </a:p>
              </c:txPr>
              <c:showLegendKey val="0"/>
              <c:showVal val="1"/>
              <c:showCatName val="0"/>
              <c:showSerName val="1"/>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'Tables for DFRTP'!$K$13:$M$13</c:f>
              <c:strCache>
                <c:ptCount val="3"/>
                <c:pt idx="0">
                  <c:v>IRTP</c:v>
                </c:pt>
                <c:pt idx="1">
                  <c:v>DFRTP</c:v>
                </c:pt>
                <c:pt idx="2">
                  <c:v>Beneficiaries</c:v>
                </c:pt>
              </c:strCache>
            </c:strRef>
          </c:cat>
          <c:val>
            <c:numRef>
              <c:f>'Tables for DFRTP'!$K$18:$M$18</c:f>
              <c:numCache>
                <c:formatCode>"$"#,##0.00</c:formatCode>
                <c:ptCount val="3"/>
                <c:pt idx="1">
                  <c:v>2.7440269939999999</c:v>
                </c:pt>
                <c:pt idx="2">
                  <c:v>2.7440269939999999</c:v>
                </c:pt>
              </c:numCache>
            </c:numRef>
          </c:val>
        </c:ser>
        <c:ser>
          <c:idx val="1"/>
          <c:order val="3"/>
          <c:tx>
            <c:strRef>
              <c:f>'Tables for DFRTP'!$J$15</c:f>
              <c:strCache>
                <c:ptCount val="1"/>
                <c:pt idx="0">
                  <c:v>Q6 Incrmental PAC BAA LSEs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'Tables for DFRTP'!$K$13:$M$13</c:f>
              <c:strCache>
                <c:ptCount val="3"/>
                <c:pt idx="0">
                  <c:v>IRTP</c:v>
                </c:pt>
                <c:pt idx="1">
                  <c:v>DFRTP</c:v>
                </c:pt>
                <c:pt idx="2">
                  <c:v>Beneficiaries</c:v>
                </c:pt>
              </c:strCache>
            </c:strRef>
          </c:cat>
          <c:val>
            <c:numRef>
              <c:f>'Tables for DFRTP'!$K$15:$M$15</c:f>
              <c:numCache>
                <c:formatCode>"$"#,##0.00</c:formatCode>
                <c:ptCount val="3"/>
                <c:pt idx="2">
                  <c:v>0.96362140564784049</c:v>
                </c:pt>
              </c:numCache>
            </c:numRef>
          </c:val>
        </c:ser>
        <c:ser>
          <c:idx val="2"/>
          <c:order val="4"/>
          <c:tx>
            <c:strRef>
              <c:f>'Tables for DFRTP'!$J$16</c:f>
              <c:strCache>
                <c:ptCount val="1"/>
                <c:pt idx="0">
                  <c:v>New WY Wind</c:v>
                </c:pt>
              </c:strCache>
            </c:strRef>
          </c:tx>
          <c:spPr>
            <a:solidFill>
              <a:schemeClr val="accent3"/>
            </a:solidFill>
            <a:ln>
              <a:noFill/>
            </a:ln>
            <a:effectLst/>
          </c:spPr>
          <c:invertIfNegative val="0"/>
          <c:dLbls>
            <c:spPr>
              <a:noFill/>
              <a:ln>
                <a:noFill/>
              </a:ln>
              <a:effectLst/>
            </c:spPr>
            <c:txPr>
              <a:bodyPr rot="0" spcFirstLastPara="1" vertOverflow="overflow" horzOverflow="overflow"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dLblPos val="ctr"/>
            <c:showLegendKey val="0"/>
            <c:showVal val="0"/>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'Tables for DFRTP'!$K$13:$M$13</c:f>
              <c:strCache>
                <c:ptCount val="3"/>
                <c:pt idx="0">
                  <c:v>IRTP</c:v>
                </c:pt>
                <c:pt idx="1">
                  <c:v>DFRTP</c:v>
                </c:pt>
                <c:pt idx="2">
                  <c:v>Beneficiaries</c:v>
                </c:pt>
              </c:strCache>
            </c:strRef>
          </c:cat>
          <c:val>
            <c:numRef>
              <c:f>'Tables for DFRTP'!$K$16:$M$16</c:f>
              <c:numCache>
                <c:formatCode>"$"#,##0.00</c:formatCode>
                <c:ptCount val="3"/>
                <c:pt idx="2">
                  <c:v>0.38116580045625692</c:v>
                </c:pt>
              </c:numCache>
            </c:numRef>
          </c:val>
        </c:ser>
        <c:ser>
          <c:idx val="3"/>
          <c:order val="5"/>
          <c:tx>
            <c:strRef>
              <c:f>'Tables for DFRTP'!$J$17</c:f>
              <c:strCache>
                <c:ptCount val="1"/>
                <c:pt idx="0">
                  <c:v>Exist WY Gen</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0"/>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'Tables for DFRTP'!$K$13:$M$13</c:f>
              <c:strCache>
                <c:ptCount val="3"/>
                <c:pt idx="0">
                  <c:v>IRTP</c:v>
                </c:pt>
                <c:pt idx="1">
                  <c:v>DFRTP</c:v>
                </c:pt>
                <c:pt idx="2">
                  <c:v>Beneficiaries</c:v>
                </c:pt>
              </c:strCache>
            </c:strRef>
          </c:cat>
          <c:val>
            <c:numRef>
              <c:f>'Tables for DFRTP'!$K$17:$M$17</c:f>
              <c:numCache>
                <c:formatCode>"$"#,##0.00</c:formatCode>
                <c:ptCount val="3"/>
                <c:pt idx="2">
                  <c:v>0.58887974789590247</c:v>
                </c:pt>
              </c:numCache>
            </c:numRef>
          </c:val>
        </c:ser>
        <c:ser>
          <c:idx val="5"/>
          <c:order val="6"/>
          <c:tx>
            <c:strRef>
              <c:f>'Tables for DFRTP'!$J$19</c:f>
              <c:strCache>
                <c:ptCount val="1"/>
                <c:pt idx="0">
                  <c:v>Benefit</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'Tables for DFRTP'!$K$19:$M$19</c:f>
              <c:numCache>
                <c:formatCode>"$"#,##0.00</c:formatCode>
                <c:ptCount val="3"/>
                <c:pt idx="1">
                  <c:v>1.933666954</c:v>
                </c:pt>
              </c:numCache>
            </c:numRef>
          </c:val>
        </c:ser>
        <c:dLbls>
          <c:showLegendKey val="0"/>
          <c:showVal val="0"/>
          <c:showCatName val="0"/>
          <c:showSerName val="0"/>
          <c:showPercent val="0"/>
          <c:showBubbleSize val="0"/>
        </c:dLbls>
        <c:gapWidth val="150"/>
        <c:overlap val="100"/>
        <c:axId val="251694560"/>
        <c:axId val="251695736"/>
      </c:barChart>
      <c:catAx>
        <c:axId val="251694560"/>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251695736"/>
        <c:crosses val="autoZero"/>
        <c:auto val="1"/>
        <c:lblAlgn val="ctr"/>
        <c:lblOffset val="100"/>
        <c:noMultiLvlLbl val="0"/>
      </c:catAx>
      <c:valAx>
        <c:axId val="251695736"/>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51694560"/>
        <c:crosses val="autoZero"/>
        <c:crossBetween val="between"/>
      </c:valAx>
      <c:spPr>
        <a:noFill/>
        <a:ln>
          <a:noFill/>
        </a:ln>
        <a:effectLst/>
      </c:spPr>
    </c:plotArea>
    <c:plotVisOnly val="1"/>
    <c:dispBlanksAs val="gap"/>
    <c:showDLblsOverMax val="0"/>
  </c:chart>
  <c:spPr>
    <a:no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2</xdr:col>
      <xdr:colOff>1104900</xdr:colOff>
      <xdr:row>9</xdr:row>
      <xdr:rowOff>180975</xdr:rowOff>
    </xdr:from>
    <xdr:to>
      <xdr:col>4</xdr:col>
      <xdr:colOff>47625</xdr:colOff>
      <xdr:row>16</xdr:row>
      <xdr:rowOff>66675</xdr:rowOff>
    </xdr:to>
    <xdr:cxnSp macro="">
      <xdr:nvCxnSpPr>
        <xdr:cNvPr id="2" name="Straight Arrow Connector 1"/>
        <xdr:cNvCxnSpPr/>
      </xdr:nvCxnSpPr>
      <xdr:spPr>
        <a:xfrm>
          <a:off x="2552700" y="1895475"/>
          <a:ext cx="923925" cy="12192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40217</xdr:colOff>
      <xdr:row>91</xdr:row>
      <xdr:rowOff>231775</xdr:rowOff>
    </xdr:from>
    <xdr:to>
      <xdr:col>3</xdr:col>
      <xdr:colOff>1440846</xdr:colOff>
      <xdr:row>91</xdr:row>
      <xdr:rowOff>2460625</xdr:rowOff>
    </xdr:to>
    <xdr:pic>
      <xdr:nvPicPr>
        <xdr:cNvPr id="10" name="Picture 9"/>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0817" y="19910425"/>
          <a:ext cx="5915479" cy="22288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22</xdr:col>
      <xdr:colOff>172639</xdr:colOff>
      <xdr:row>122</xdr:row>
      <xdr:rowOff>98822</xdr:rowOff>
    </xdr:from>
    <xdr:to>
      <xdr:col>25</xdr:col>
      <xdr:colOff>339327</xdr:colOff>
      <xdr:row>134</xdr:row>
      <xdr:rowOff>127397</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28</xdr:col>
      <xdr:colOff>166687</xdr:colOff>
      <xdr:row>12</xdr:row>
      <xdr:rowOff>309562</xdr:rowOff>
    </xdr:from>
    <xdr:to>
      <xdr:col>32</xdr:col>
      <xdr:colOff>171449</xdr:colOff>
      <xdr:row>26</xdr:row>
      <xdr:rowOff>147637</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393701</xdr:colOff>
      <xdr:row>2</xdr:row>
      <xdr:rowOff>66145</xdr:rowOff>
    </xdr:from>
    <xdr:to>
      <xdr:col>14</xdr:col>
      <xdr:colOff>229659</xdr:colOff>
      <xdr:row>11</xdr:row>
      <xdr:rowOff>63500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
  <sheetViews>
    <sheetView tabSelected="1" workbookViewId="0">
      <pane xSplit="1" ySplit="2" topLeftCell="B3" activePane="bottomRight" state="frozen"/>
      <selection pane="topRight" activeCell="B1" sqref="B1"/>
      <selection pane="bottomLeft" activeCell="A3" sqref="A3"/>
      <selection pane="bottomRight" activeCell="A28" sqref="A28"/>
    </sheetView>
  </sheetViews>
  <sheetFormatPr defaultRowHeight="15" x14ac:dyDescent="0.25"/>
  <cols>
    <col min="1" max="1" width="41.42578125" bestFit="1" customWidth="1"/>
    <col min="2" max="2" width="14.5703125" bestFit="1" customWidth="1"/>
    <col min="3" max="3" width="16.140625" bestFit="1" customWidth="1"/>
    <col min="4" max="4" width="15.28515625" bestFit="1" customWidth="1"/>
    <col min="5" max="5" width="13.5703125" bestFit="1" customWidth="1"/>
    <col min="6" max="6" width="13.42578125" bestFit="1" customWidth="1"/>
    <col min="7" max="7" width="15.140625" bestFit="1" customWidth="1"/>
    <col min="8" max="8" width="15.28515625" bestFit="1" customWidth="1"/>
    <col min="9" max="9" width="17.42578125" bestFit="1" customWidth="1"/>
    <col min="10" max="10" width="16.42578125" bestFit="1" customWidth="1"/>
    <col min="11" max="11" width="14.7109375" bestFit="1" customWidth="1"/>
    <col min="12" max="12" width="14.5703125" bestFit="1" customWidth="1"/>
    <col min="13" max="13" width="16.28515625" bestFit="1" customWidth="1"/>
    <col min="14" max="14" width="11.42578125" bestFit="1" customWidth="1"/>
    <col min="15" max="15" width="13.140625" bestFit="1" customWidth="1"/>
    <col min="16" max="16" width="12.140625" bestFit="1" customWidth="1"/>
    <col min="17" max="17" width="10.85546875" bestFit="1" customWidth="1"/>
    <col min="18" max="18" width="10.7109375" bestFit="1" customWidth="1"/>
    <col min="19" max="19" width="12.42578125" bestFit="1" customWidth="1"/>
    <col min="20" max="20" width="10.5703125" bestFit="1" customWidth="1"/>
  </cols>
  <sheetData>
    <row r="1" spans="1:20" x14ac:dyDescent="0.25">
      <c r="A1" t="s">
        <v>180</v>
      </c>
    </row>
    <row r="2" spans="1:20" x14ac:dyDescent="0.25">
      <c r="B2" s="594" t="s">
        <v>181</v>
      </c>
      <c r="C2" s="594"/>
      <c r="D2" s="594"/>
      <c r="E2" s="594"/>
      <c r="F2" s="594"/>
      <c r="G2" s="595"/>
      <c r="H2" s="596" t="s">
        <v>182</v>
      </c>
      <c r="I2" s="594"/>
      <c r="J2" s="594"/>
      <c r="K2" s="594"/>
      <c r="L2" s="594"/>
      <c r="M2" s="597"/>
      <c r="N2" s="596" t="s">
        <v>183</v>
      </c>
      <c r="O2" s="594"/>
      <c r="P2" s="594"/>
      <c r="Q2" s="594"/>
      <c r="R2" s="594"/>
      <c r="S2" s="597"/>
    </row>
    <row r="3" spans="1:20" x14ac:dyDescent="0.25">
      <c r="A3" t="s">
        <v>184</v>
      </c>
      <c r="B3" t="s">
        <v>185</v>
      </c>
      <c r="C3" t="s">
        <v>186</v>
      </c>
      <c r="D3" t="s">
        <v>187</v>
      </c>
      <c r="E3" t="s">
        <v>188</v>
      </c>
      <c r="F3" t="s">
        <v>189</v>
      </c>
      <c r="G3" t="s">
        <v>190</v>
      </c>
      <c r="H3" t="s">
        <v>191</v>
      </c>
      <c r="I3" t="s">
        <v>192</v>
      </c>
      <c r="J3" t="s">
        <v>193</v>
      </c>
      <c r="K3" t="s">
        <v>194</v>
      </c>
      <c r="L3" t="s">
        <v>195</v>
      </c>
      <c r="M3" t="s">
        <v>196</v>
      </c>
      <c r="N3" t="s">
        <v>197</v>
      </c>
      <c r="O3" t="s">
        <v>198</v>
      </c>
      <c r="P3" t="s">
        <v>199</v>
      </c>
      <c r="Q3" t="s">
        <v>200</v>
      </c>
      <c r="R3" t="s">
        <v>201</v>
      </c>
      <c r="S3" t="s">
        <v>202</v>
      </c>
      <c r="T3" t="s">
        <v>203</v>
      </c>
    </row>
    <row r="4" spans="1:20" x14ac:dyDescent="0.25">
      <c r="A4" t="s">
        <v>204</v>
      </c>
      <c r="B4">
        <v>86.2</v>
      </c>
      <c r="C4">
        <v>111.2</v>
      </c>
      <c r="D4">
        <v>384.2</v>
      </c>
      <c r="E4">
        <v>208.2</v>
      </c>
      <c r="F4">
        <v>125.7</v>
      </c>
      <c r="G4">
        <f>SUM(B4:F4)</f>
        <v>915.5</v>
      </c>
      <c r="H4">
        <f t="shared" ref="H4:M6" si="0">B4*8760</f>
        <v>755112</v>
      </c>
      <c r="I4">
        <f t="shared" si="0"/>
        <v>974112</v>
      </c>
      <c r="J4">
        <f t="shared" si="0"/>
        <v>3365592</v>
      </c>
      <c r="K4">
        <f t="shared" si="0"/>
        <v>1823832</v>
      </c>
      <c r="L4">
        <f t="shared" si="0"/>
        <v>1101132</v>
      </c>
      <c r="M4">
        <f t="shared" si="0"/>
        <v>8019780</v>
      </c>
      <c r="N4" s="598">
        <f>H4*$B$36</f>
        <v>0</v>
      </c>
      <c r="O4" s="598">
        <f>I4*$B$37</f>
        <v>0</v>
      </c>
      <c r="P4" s="598">
        <f>J4*$B$38</f>
        <v>0</v>
      </c>
      <c r="Q4" s="598">
        <f>K4*$B$39</f>
        <v>0</v>
      </c>
      <c r="R4" s="598">
        <f>L4*$B$40</f>
        <v>0</v>
      </c>
      <c r="S4" s="598">
        <f>SUM(N4:R4)</f>
        <v>0</v>
      </c>
      <c r="T4" s="598">
        <f>O4+P4</f>
        <v>0</v>
      </c>
    </row>
    <row r="5" spans="1:20" x14ac:dyDescent="0.25">
      <c r="A5" t="s">
        <v>224</v>
      </c>
      <c r="B5">
        <v>86.7</v>
      </c>
      <c r="C5">
        <v>110.3</v>
      </c>
      <c r="D5">
        <v>381.3</v>
      </c>
      <c r="E5">
        <v>202.8</v>
      </c>
      <c r="F5">
        <v>123.3</v>
      </c>
      <c r="G5">
        <f>SUM(B5:F5)</f>
        <v>904.39999999999986</v>
      </c>
      <c r="H5">
        <f t="shared" si="0"/>
        <v>759492</v>
      </c>
      <c r="I5">
        <f t="shared" si="0"/>
        <v>966228</v>
      </c>
      <c r="J5">
        <f t="shared" si="0"/>
        <v>3340188</v>
      </c>
      <c r="K5">
        <f t="shared" si="0"/>
        <v>1776528</v>
      </c>
      <c r="L5">
        <f t="shared" si="0"/>
        <v>1080108</v>
      </c>
      <c r="M5">
        <f t="shared" si="0"/>
        <v>7922543.9999999991</v>
      </c>
      <c r="N5" s="598">
        <f>H5*$B$36</f>
        <v>0</v>
      </c>
      <c r="O5" s="598">
        <f>I5*$B$37</f>
        <v>0</v>
      </c>
      <c r="P5" s="598">
        <f>J5*$B$38</f>
        <v>0</v>
      </c>
      <c r="Q5" s="598">
        <f>K5*$B$39</f>
        <v>0</v>
      </c>
      <c r="R5" s="598">
        <f>L5*$B$40</f>
        <v>0</v>
      </c>
      <c r="S5" s="598">
        <f>SUM(N5:R5)</f>
        <v>0</v>
      </c>
      <c r="T5" s="598">
        <f>O5+P5</f>
        <v>0</v>
      </c>
    </row>
    <row r="6" spans="1:20" x14ac:dyDescent="0.25">
      <c r="A6" s="599" t="s">
        <v>205</v>
      </c>
      <c r="B6" s="600">
        <f t="shared" ref="B6:G6" si="1">B4-B5</f>
        <v>-0.5</v>
      </c>
      <c r="C6" s="600">
        <f t="shared" si="1"/>
        <v>0.90000000000000568</v>
      </c>
      <c r="D6" s="600">
        <f t="shared" si="1"/>
        <v>2.8999999999999773</v>
      </c>
      <c r="E6" s="600">
        <f t="shared" si="1"/>
        <v>5.3999999999999773</v>
      </c>
      <c r="F6" s="600">
        <f t="shared" si="1"/>
        <v>2.4000000000000057</v>
      </c>
      <c r="G6" s="600">
        <f t="shared" si="1"/>
        <v>11.100000000000136</v>
      </c>
      <c r="H6" s="600">
        <f t="shared" si="0"/>
        <v>-4380</v>
      </c>
      <c r="I6" s="600">
        <f t="shared" si="0"/>
        <v>7884.00000000005</v>
      </c>
      <c r="J6" s="600">
        <f t="shared" si="0"/>
        <v>25403.9999999998</v>
      </c>
      <c r="K6" s="600">
        <f t="shared" si="0"/>
        <v>47303.999999999804</v>
      </c>
      <c r="L6" s="600">
        <f t="shared" si="0"/>
        <v>21024.000000000051</v>
      </c>
      <c r="M6" s="600">
        <f t="shared" si="0"/>
        <v>97236.000000001193</v>
      </c>
      <c r="N6" s="598">
        <f>H6*$B$36</f>
        <v>0</v>
      </c>
      <c r="O6" s="598">
        <f>I6*$B$37</f>
        <v>0</v>
      </c>
      <c r="P6" s="598">
        <f>J6*$B$38</f>
        <v>0</v>
      </c>
      <c r="Q6" s="598">
        <f>K6*$B$39</f>
        <v>0</v>
      </c>
      <c r="R6" s="598">
        <f>L6*$B$40</f>
        <v>0</v>
      </c>
      <c r="S6" s="598">
        <f>SUM(N6:R6)</f>
        <v>0</v>
      </c>
      <c r="T6" s="598">
        <f>O6+P6</f>
        <v>0</v>
      </c>
    </row>
    <row r="7" spans="1:20" x14ac:dyDescent="0.25">
      <c r="A7" s="599"/>
      <c r="N7" s="598"/>
      <c r="O7" s="598"/>
      <c r="P7" s="598"/>
      <c r="Q7" s="598"/>
      <c r="R7" s="598"/>
      <c r="S7" s="598"/>
      <c r="T7" s="598" t="s">
        <v>72</v>
      </c>
    </row>
    <row r="8" spans="1:20" x14ac:dyDescent="0.25">
      <c r="A8" t="s">
        <v>206</v>
      </c>
      <c r="B8" s="39">
        <v>91.3</v>
      </c>
      <c r="C8" s="39">
        <v>117.8</v>
      </c>
      <c r="D8">
        <v>409.1</v>
      </c>
      <c r="E8">
        <v>221.5</v>
      </c>
      <c r="F8">
        <v>128.4</v>
      </c>
      <c r="G8">
        <f>SUM(B8:F8)</f>
        <v>968.1</v>
      </c>
      <c r="H8">
        <f t="shared" ref="H8:M10" si="2">B8*8760</f>
        <v>799788</v>
      </c>
      <c r="I8">
        <f t="shared" si="2"/>
        <v>1031928</v>
      </c>
      <c r="J8">
        <f t="shared" si="2"/>
        <v>3583716</v>
      </c>
      <c r="K8">
        <f t="shared" si="2"/>
        <v>1940340</v>
      </c>
      <c r="L8">
        <f t="shared" si="2"/>
        <v>1124784</v>
      </c>
      <c r="M8">
        <f t="shared" si="2"/>
        <v>8480556</v>
      </c>
      <c r="N8" s="601">
        <f>H8*$B$36</f>
        <v>0</v>
      </c>
      <c r="O8" s="601">
        <f>I8*$B$37</f>
        <v>0</v>
      </c>
      <c r="P8" s="601">
        <f>J8*$B$38</f>
        <v>0</v>
      </c>
      <c r="Q8" s="598">
        <f>K8*$B$39</f>
        <v>0</v>
      </c>
      <c r="R8" s="598">
        <f>L8*$B$40</f>
        <v>0</v>
      </c>
      <c r="S8" s="598">
        <f>SUM(N8:R8)</f>
        <v>0</v>
      </c>
      <c r="T8" s="601">
        <f>O8+P8</f>
        <v>0</v>
      </c>
    </row>
    <row r="9" spans="1:20" x14ac:dyDescent="0.25">
      <c r="A9" t="s">
        <v>225</v>
      </c>
      <c r="B9">
        <v>91.9</v>
      </c>
      <c r="C9">
        <v>116.4</v>
      </c>
      <c r="D9">
        <v>405.8</v>
      </c>
      <c r="E9">
        <v>214.1</v>
      </c>
      <c r="F9">
        <v>125.5</v>
      </c>
      <c r="G9">
        <f>SUM(B9:F9)</f>
        <v>953.7</v>
      </c>
      <c r="H9">
        <f t="shared" si="2"/>
        <v>805044</v>
      </c>
      <c r="I9">
        <f t="shared" si="2"/>
        <v>1019664</v>
      </c>
      <c r="J9">
        <f t="shared" si="2"/>
        <v>3554808</v>
      </c>
      <c r="K9">
        <f t="shared" si="2"/>
        <v>1875516</v>
      </c>
      <c r="L9">
        <f t="shared" si="2"/>
        <v>1099380</v>
      </c>
      <c r="M9">
        <f t="shared" si="2"/>
        <v>8354412</v>
      </c>
      <c r="N9" s="598">
        <f>H9*$B$36</f>
        <v>0</v>
      </c>
      <c r="O9" s="598">
        <f>I9*$B$37</f>
        <v>0</v>
      </c>
      <c r="P9" s="598">
        <f>J9*$B$38</f>
        <v>0</v>
      </c>
      <c r="Q9" s="598">
        <f>K9*$B$39</f>
        <v>0</v>
      </c>
      <c r="R9" s="598">
        <f>L9*$B$40</f>
        <v>0</v>
      </c>
      <c r="S9" s="598">
        <f>SUM(N9:R9)</f>
        <v>0</v>
      </c>
      <c r="T9" s="598">
        <f>O9+P9</f>
        <v>0</v>
      </c>
    </row>
    <row r="10" spans="1:20" x14ac:dyDescent="0.25">
      <c r="A10" s="599" t="s">
        <v>205</v>
      </c>
      <c r="B10" s="602">
        <f t="shared" ref="B10:G10" si="3">B8-B9</f>
        <v>-0.60000000000000853</v>
      </c>
      <c r="C10" s="602">
        <f t="shared" si="3"/>
        <v>1.3999999999999915</v>
      </c>
      <c r="D10" s="602">
        <f t="shared" si="3"/>
        <v>3.3000000000000114</v>
      </c>
      <c r="E10" s="602">
        <f t="shared" si="3"/>
        <v>7.4000000000000057</v>
      </c>
      <c r="F10" s="602">
        <f t="shared" si="3"/>
        <v>2.9000000000000057</v>
      </c>
      <c r="G10" s="602">
        <f t="shared" si="3"/>
        <v>14.399999999999977</v>
      </c>
      <c r="H10" s="602">
        <f t="shared" si="2"/>
        <v>-5256.0000000000746</v>
      </c>
      <c r="I10" s="602">
        <f t="shared" si="2"/>
        <v>12263.999999999925</v>
      </c>
      <c r="J10" s="602">
        <f t="shared" si="2"/>
        <v>28908.000000000098</v>
      </c>
      <c r="K10" s="602">
        <f t="shared" si="2"/>
        <v>64824.000000000051</v>
      </c>
      <c r="L10" s="602">
        <f t="shared" si="2"/>
        <v>25404.000000000051</v>
      </c>
      <c r="M10" s="602">
        <f t="shared" si="2"/>
        <v>126143.9999999998</v>
      </c>
      <c r="N10" s="598">
        <f>H10*$B$36</f>
        <v>0</v>
      </c>
      <c r="O10" s="598">
        <f>I10*$B$37</f>
        <v>0</v>
      </c>
      <c r="P10" s="598">
        <f>J10*$B$38</f>
        <v>0</v>
      </c>
      <c r="Q10" s="598">
        <f>K10*$B$39</f>
        <v>0</v>
      </c>
      <c r="R10" s="598">
        <f>L10*$B$40</f>
        <v>0</v>
      </c>
      <c r="S10" s="598">
        <f>SUM(N10:R10)</f>
        <v>0</v>
      </c>
      <c r="T10" s="598">
        <f>O10+P10</f>
        <v>0</v>
      </c>
    </row>
    <row r="11" spans="1:20" x14ac:dyDescent="0.25">
      <c r="A11" s="599"/>
      <c r="N11" s="113"/>
      <c r="O11" s="113"/>
      <c r="P11" s="113"/>
      <c r="Q11" s="113"/>
      <c r="R11" s="113"/>
      <c r="S11" s="598"/>
      <c r="T11" s="598" t="s">
        <v>72</v>
      </c>
    </row>
    <row r="12" spans="1:20" x14ac:dyDescent="0.25">
      <c r="A12" t="s">
        <v>207</v>
      </c>
      <c r="B12">
        <v>82.1</v>
      </c>
      <c r="C12">
        <v>105</v>
      </c>
      <c r="D12">
        <v>358.5</v>
      </c>
      <c r="E12">
        <v>191.7</v>
      </c>
      <c r="F12">
        <v>119.6</v>
      </c>
      <c r="G12">
        <f>SUM(B12:F12)</f>
        <v>856.9</v>
      </c>
      <c r="H12">
        <f t="shared" ref="H12:M14" si="4">B12*8760</f>
        <v>719196</v>
      </c>
      <c r="I12">
        <f t="shared" si="4"/>
        <v>919800</v>
      </c>
      <c r="J12">
        <f t="shared" si="4"/>
        <v>3140460</v>
      </c>
      <c r="K12">
        <f t="shared" si="4"/>
        <v>1679292</v>
      </c>
      <c r="L12">
        <f t="shared" si="4"/>
        <v>1047696</v>
      </c>
      <c r="M12">
        <f t="shared" si="4"/>
        <v>7506444</v>
      </c>
      <c r="N12" s="598">
        <f>H12*$B$36</f>
        <v>0</v>
      </c>
      <c r="O12" s="598">
        <f>I12*$B$37</f>
        <v>0</v>
      </c>
      <c r="P12" s="598">
        <f>J12*$B$38</f>
        <v>0</v>
      </c>
      <c r="Q12" s="598">
        <f>K12*$B$39</f>
        <v>0</v>
      </c>
      <c r="R12" s="598">
        <f>L12*$B$40</f>
        <v>0</v>
      </c>
      <c r="S12" s="598">
        <f>SUM(N12:R12)</f>
        <v>0</v>
      </c>
      <c r="T12" s="598">
        <f>O12+P12</f>
        <v>0</v>
      </c>
    </row>
    <row r="13" spans="1:20" x14ac:dyDescent="0.25">
      <c r="A13" t="s">
        <v>226</v>
      </c>
      <c r="B13">
        <v>82.7</v>
      </c>
      <c r="C13">
        <v>103.7</v>
      </c>
      <c r="D13">
        <v>356.2</v>
      </c>
      <c r="E13">
        <v>186.6</v>
      </c>
      <c r="F13">
        <v>117.2</v>
      </c>
      <c r="G13">
        <f>SUM(B13:F13)</f>
        <v>846.40000000000009</v>
      </c>
      <c r="H13">
        <f t="shared" si="4"/>
        <v>724452</v>
      </c>
      <c r="I13">
        <f t="shared" si="4"/>
        <v>908412</v>
      </c>
      <c r="J13">
        <f t="shared" si="4"/>
        <v>3120312</v>
      </c>
      <c r="K13">
        <f t="shared" si="4"/>
        <v>1634616</v>
      </c>
      <c r="L13">
        <f t="shared" si="4"/>
        <v>1026672</v>
      </c>
      <c r="M13">
        <f t="shared" si="4"/>
        <v>7414464.0000000009</v>
      </c>
      <c r="N13" s="598">
        <f>H13*$B$36</f>
        <v>0</v>
      </c>
      <c r="O13" s="598">
        <f>I13*$B$37</f>
        <v>0</v>
      </c>
      <c r="P13" s="598">
        <f>J13*$B$38</f>
        <v>0</v>
      </c>
      <c r="Q13" s="598">
        <f>K13*$B$39</f>
        <v>0</v>
      </c>
      <c r="R13" s="598">
        <f>L13*$B$40</f>
        <v>0</v>
      </c>
      <c r="S13" s="598">
        <f>SUM(N13:R13)</f>
        <v>0</v>
      </c>
      <c r="T13" s="598">
        <f>O13+P13</f>
        <v>0</v>
      </c>
    </row>
    <row r="14" spans="1:20" x14ac:dyDescent="0.25">
      <c r="A14" s="599" t="s">
        <v>205</v>
      </c>
      <c r="B14" s="603">
        <f t="shared" ref="B14:G14" si="5">B12-B13</f>
        <v>-0.60000000000000853</v>
      </c>
      <c r="C14" s="603">
        <f t="shared" si="5"/>
        <v>1.2999999999999972</v>
      </c>
      <c r="D14" s="603">
        <f t="shared" si="5"/>
        <v>2.3000000000000114</v>
      </c>
      <c r="E14" s="603">
        <f t="shared" si="5"/>
        <v>5.0999999999999943</v>
      </c>
      <c r="F14" s="603">
        <f t="shared" si="5"/>
        <v>2.3999999999999915</v>
      </c>
      <c r="G14" s="603">
        <f t="shared" si="5"/>
        <v>10.499999999999886</v>
      </c>
      <c r="H14" s="603">
        <f t="shared" si="4"/>
        <v>-5256.0000000000746</v>
      </c>
      <c r="I14" s="603">
        <f t="shared" si="4"/>
        <v>11387.999999999975</v>
      </c>
      <c r="J14" s="603">
        <f t="shared" si="4"/>
        <v>20148.000000000098</v>
      </c>
      <c r="K14" s="603">
        <f t="shared" si="4"/>
        <v>44675.999999999949</v>
      </c>
      <c r="L14" s="603">
        <f t="shared" si="4"/>
        <v>21023.999999999924</v>
      </c>
      <c r="M14" s="603">
        <f t="shared" si="4"/>
        <v>91979.99999999901</v>
      </c>
      <c r="N14" s="598">
        <f>H14*$B$36</f>
        <v>0</v>
      </c>
      <c r="O14" s="598">
        <f>I14*$B$37</f>
        <v>0</v>
      </c>
      <c r="P14" s="598">
        <f>J14*$B$38</f>
        <v>0</v>
      </c>
      <c r="Q14" s="598">
        <f>K14*$B$39</f>
        <v>0</v>
      </c>
      <c r="R14" s="598">
        <f>L14*$B$40</f>
        <v>0</v>
      </c>
      <c r="S14" s="598">
        <f>SUM(N14:R14)</f>
        <v>0</v>
      </c>
      <c r="T14" s="598">
        <f>O14+P14</f>
        <v>0</v>
      </c>
    </row>
    <row r="15" spans="1:20" x14ac:dyDescent="0.25">
      <c r="A15" s="599"/>
      <c r="N15" s="113"/>
      <c r="O15" s="113"/>
      <c r="P15" s="113"/>
      <c r="Q15" s="113"/>
      <c r="R15" s="113"/>
      <c r="S15" s="598"/>
      <c r="T15" s="598" t="s">
        <v>72</v>
      </c>
    </row>
    <row r="16" spans="1:20" ht="30" x14ac:dyDescent="0.25">
      <c r="A16" s="312" t="s">
        <v>208</v>
      </c>
      <c r="B16">
        <v>83.3</v>
      </c>
      <c r="C16">
        <v>105.8</v>
      </c>
      <c r="D16">
        <v>355.7</v>
      </c>
      <c r="E16">
        <v>186</v>
      </c>
      <c r="F16">
        <v>114.7</v>
      </c>
      <c r="G16">
        <f>SUM(B16:F16)</f>
        <v>845.5</v>
      </c>
      <c r="H16">
        <f t="shared" ref="H16:M18" si="6">B16*8760</f>
        <v>729708</v>
      </c>
      <c r="I16">
        <f t="shared" si="6"/>
        <v>926808</v>
      </c>
      <c r="J16">
        <f t="shared" si="6"/>
        <v>3115932</v>
      </c>
      <c r="K16">
        <f t="shared" si="6"/>
        <v>1629360</v>
      </c>
      <c r="L16">
        <f t="shared" si="6"/>
        <v>1004772</v>
      </c>
      <c r="M16">
        <f t="shared" si="6"/>
        <v>7406580</v>
      </c>
      <c r="N16" s="598">
        <f>H16*$B$36</f>
        <v>0</v>
      </c>
      <c r="O16" s="598">
        <f>I16*$B$37</f>
        <v>0</v>
      </c>
      <c r="P16" s="598">
        <f>J16*$B$38</f>
        <v>0</v>
      </c>
      <c r="Q16" s="598">
        <f>K16*$B$39</f>
        <v>0</v>
      </c>
      <c r="R16" s="598">
        <f>L16*$B$40</f>
        <v>0</v>
      </c>
      <c r="S16" s="598">
        <f>SUM(N16:R16)</f>
        <v>0</v>
      </c>
      <c r="T16" s="598">
        <f>O16+P16</f>
        <v>0</v>
      </c>
    </row>
    <row r="17" spans="1:20" ht="30" x14ac:dyDescent="0.25">
      <c r="A17" s="312" t="s">
        <v>227</v>
      </c>
      <c r="B17">
        <v>83.7</v>
      </c>
      <c r="C17">
        <v>104.7</v>
      </c>
      <c r="D17">
        <v>354.2</v>
      </c>
      <c r="E17">
        <v>182.8</v>
      </c>
      <c r="F17">
        <v>112.9</v>
      </c>
      <c r="G17">
        <f>SUM(B17:F17)</f>
        <v>838.30000000000007</v>
      </c>
      <c r="H17">
        <f t="shared" si="6"/>
        <v>733212</v>
      </c>
      <c r="I17">
        <f t="shared" si="6"/>
        <v>917172</v>
      </c>
      <c r="J17">
        <f t="shared" si="6"/>
        <v>3102792</v>
      </c>
      <c r="K17">
        <f t="shared" si="6"/>
        <v>1601328</v>
      </c>
      <c r="L17">
        <f t="shared" si="6"/>
        <v>989004</v>
      </c>
      <c r="M17">
        <f t="shared" si="6"/>
        <v>7343508.0000000009</v>
      </c>
      <c r="N17" s="598">
        <f>H17*$B$36</f>
        <v>0</v>
      </c>
      <c r="O17" s="598">
        <f>I17*$B$37</f>
        <v>0</v>
      </c>
      <c r="P17" s="598">
        <f>J17*$B$38</f>
        <v>0</v>
      </c>
      <c r="Q17" s="598">
        <f>K17*$B$39</f>
        <v>0</v>
      </c>
      <c r="R17" s="598">
        <f>L17*$B$40</f>
        <v>0</v>
      </c>
      <c r="S17" s="598">
        <f>SUM(N17:R17)</f>
        <v>0</v>
      </c>
      <c r="T17" s="598">
        <f>O17+P17</f>
        <v>0</v>
      </c>
    </row>
    <row r="18" spans="1:20" x14ac:dyDescent="0.25">
      <c r="A18" s="599" t="s">
        <v>205</v>
      </c>
      <c r="B18" s="604">
        <f t="shared" ref="B18:G18" si="7">B16-B17</f>
        <v>-0.40000000000000568</v>
      </c>
      <c r="C18" s="604">
        <f t="shared" si="7"/>
        <v>1.0999999999999943</v>
      </c>
      <c r="D18" s="604">
        <f t="shared" si="7"/>
        <v>1.5</v>
      </c>
      <c r="E18" s="604">
        <f t="shared" si="7"/>
        <v>3.1999999999999886</v>
      </c>
      <c r="F18" s="604">
        <f t="shared" si="7"/>
        <v>1.7999999999999972</v>
      </c>
      <c r="G18" s="604">
        <f t="shared" si="7"/>
        <v>7.1999999999999318</v>
      </c>
      <c r="H18" s="604">
        <f t="shared" si="6"/>
        <v>-3504.00000000005</v>
      </c>
      <c r="I18" s="604">
        <f t="shared" si="6"/>
        <v>9635.9999999999509</v>
      </c>
      <c r="J18" s="604">
        <f t="shared" si="6"/>
        <v>13140</v>
      </c>
      <c r="K18" s="604">
        <f t="shared" si="6"/>
        <v>28031.999999999902</v>
      </c>
      <c r="L18" s="604">
        <f t="shared" si="6"/>
        <v>15767.999999999975</v>
      </c>
      <c r="M18" s="604">
        <f t="shared" si="6"/>
        <v>63071.999999999403</v>
      </c>
      <c r="N18" s="598">
        <f>H18*$B$36</f>
        <v>0</v>
      </c>
      <c r="O18" s="598">
        <f>I18*$B$37</f>
        <v>0</v>
      </c>
      <c r="P18" s="598">
        <f>J18*$B$38</f>
        <v>0</v>
      </c>
      <c r="Q18" s="598">
        <f>K18*$B$39</f>
        <v>0</v>
      </c>
      <c r="R18" s="598">
        <f>L18*$B$40</f>
        <v>0</v>
      </c>
      <c r="S18" s="598">
        <f>SUM(N18:R18)</f>
        <v>0</v>
      </c>
      <c r="T18" s="598">
        <f>O18+P18</f>
        <v>0</v>
      </c>
    </row>
    <row r="19" spans="1:20" x14ac:dyDescent="0.25">
      <c r="A19" s="599"/>
      <c r="N19" s="113"/>
      <c r="O19" s="113"/>
      <c r="P19" s="113"/>
      <c r="Q19" s="113"/>
      <c r="R19" s="113"/>
      <c r="S19" s="598"/>
      <c r="T19" s="598" t="s">
        <v>72</v>
      </c>
    </row>
    <row r="20" spans="1:20" ht="30" x14ac:dyDescent="0.25">
      <c r="A20" s="312" t="s">
        <v>209</v>
      </c>
      <c r="B20">
        <v>75</v>
      </c>
      <c r="C20">
        <v>144.5</v>
      </c>
      <c r="D20" s="39">
        <v>372.8</v>
      </c>
      <c r="E20" s="39">
        <v>164.6</v>
      </c>
      <c r="F20" s="39">
        <v>110</v>
      </c>
      <c r="G20">
        <f>SUM(B20:F20)</f>
        <v>866.9</v>
      </c>
      <c r="H20">
        <f t="shared" ref="H20:M22" si="8">B20*8760</f>
        <v>657000</v>
      </c>
      <c r="I20">
        <f t="shared" si="8"/>
        <v>1265820</v>
      </c>
      <c r="J20">
        <f t="shared" si="8"/>
        <v>3265728</v>
      </c>
      <c r="K20">
        <f t="shared" si="8"/>
        <v>1441896</v>
      </c>
      <c r="L20">
        <f t="shared" si="8"/>
        <v>963600</v>
      </c>
      <c r="M20">
        <f t="shared" si="8"/>
        <v>7594044</v>
      </c>
      <c r="N20" s="598">
        <f>H20*$B$36</f>
        <v>0</v>
      </c>
      <c r="O20" s="601">
        <f>I20*$B$37</f>
        <v>0</v>
      </c>
      <c r="P20" s="601">
        <f>J20*$B$38</f>
        <v>0</v>
      </c>
      <c r="Q20" s="601">
        <f>K20*$B$39</f>
        <v>0</v>
      </c>
      <c r="R20" s="601">
        <f>L20*$B$40</f>
        <v>0</v>
      </c>
      <c r="S20" s="598">
        <f>SUM(N20:R20)</f>
        <v>0</v>
      </c>
      <c r="T20" s="601">
        <f>O20+P20</f>
        <v>0</v>
      </c>
    </row>
    <row r="21" spans="1:20" ht="30" x14ac:dyDescent="0.25">
      <c r="A21" s="312" t="s">
        <v>228</v>
      </c>
      <c r="B21">
        <v>75</v>
      </c>
      <c r="C21">
        <v>144.6</v>
      </c>
      <c r="D21">
        <v>371.8</v>
      </c>
      <c r="E21">
        <v>164.1</v>
      </c>
      <c r="F21">
        <v>110.3</v>
      </c>
      <c r="G21">
        <f>SUM(B21:F21)</f>
        <v>865.8</v>
      </c>
      <c r="H21">
        <f t="shared" si="8"/>
        <v>657000</v>
      </c>
      <c r="I21">
        <f t="shared" si="8"/>
        <v>1266696</v>
      </c>
      <c r="J21">
        <f t="shared" si="8"/>
        <v>3256968</v>
      </c>
      <c r="K21">
        <f t="shared" si="8"/>
        <v>1437516</v>
      </c>
      <c r="L21">
        <f t="shared" si="8"/>
        <v>966228</v>
      </c>
      <c r="M21">
        <f t="shared" si="8"/>
        <v>7584408</v>
      </c>
      <c r="N21" s="598">
        <f>H21*$B$36</f>
        <v>0</v>
      </c>
      <c r="O21" s="598">
        <f>I21*$B$37</f>
        <v>0</v>
      </c>
      <c r="P21" s="598">
        <f>J21*$B$38</f>
        <v>0</v>
      </c>
      <c r="Q21" s="598">
        <f>K21*$B$39</f>
        <v>0</v>
      </c>
      <c r="R21" s="598">
        <f>L21*$B$40</f>
        <v>0</v>
      </c>
      <c r="S21" s="598">
        <f>SUM(N21:R21)</f>
        <v>0</v>
      </c>
      <c r="T21" s="598">
        <f>O21+P21</f>
        <v>0</v>
      </c>
    </row>
    <row r="22" spans="1:20" x14ac:dyDescent="0.25">
      <c r="A22" s="599" t="s">
        <v>205</v>
      </c>
      <c r="B22" s="605">
        <f t="shared" ref="B22:G22" si="9">B20-B21</f>
        <v>0</v>
      </c>
      <c r="C22" s="605">
        <f t="shared" si="9"/>
        <v>-9.9999999999994316E-2</v>
      </c>
      <c r="D22" s="605">
        <f t="shared" si="9"/>
        <v>1</v>
      </c>
      <c r="E22" s="605">
        <f t="shared" si="9"/>
        <v>0.5</v>
      </c>
      <c r="F22" s="605">
        <f t="shared" si="9"/>
        <v>-0.29999999999999716</v>
      </c>
      <c r="G22" s="605">
        <f t="shared" si="9"/>
        <v>1.1000000000000227</v>
      </c>
      <c r="H22" s="605">
        <f t="shared" si="8"/>
        <v>0</v>
      </c>
      <c r="I22" s="605">
        <f t="shared" si="8"/>
        <v>-875.99999999995021</v>
      </c>
      <c r="J22" s="605">
        <f t="shared" si="8"/>
        <v>8760</v>
      </c>
      <c r="K22" s="605">
        <f t="shared" si="8"/>
        <v>4380</v>
      </c>
      <c r="L22" s="605">
        <f t="shared" si="8"/>
        <v>-2627.999999999975</v>
      </c>
      <c r="M22" s="605">
        <f t="shared" si="8"/>
        <v>9636.0000000002001</v>
      </c>
      <c r="N22" s="598">
        <f>H22*$B$36</f>
        <v>0</v>
      </c>
      <c r="O22" s="598">
        <f>I22*$B$37</f>
        <v>0</v>
      </c>
      <c r="P22" s="598">
        <f>J22*$B$38</f>
        <v>0</v>
      </c>
      <c r="Q22" s="598">
        <f>K22*$B$39</f>
        <v>0</v>
      </c>
      <c r="R22" s="598">
        <f>L22*$B$40</f>
        <v>0</v>
      </c>
      <c r="S22" s="598">
        <f>SUM(N22:R22)</f>
        <v>0</v>
      </c>
      <c r="T22" s="598">
        <f>O22+P22</f>
        <v>0</v>
      </c>
    </row>
    <row r="23" spans="1:20" x14ac:dyDescent="0.25">
      <c r="A23" s="599"/>
      <c r="N23" s="113"/>
      <c r="O23" s="113"/>
      <c r="P23" s="113"/>
      <c r="Q23" s="113"/>
      <c r="R23" s="113"/>
      <c r="S23" s="598"/>
      <c r="T23" s="598" t="s">
        <v>72</v>
      </c>
    </row>
    <row r="24" spans="1:20" x14ac:dyDescent="0.25">
      <c r="A24" t="s">
        <v>210</v>
      </c>
      <c r="B24">
        <v>72.900000000000006</v>
      </c>
      <c r="C24">
        <v>108.9</v>
      </c>
      <c r="D24">
        <v>292.39999999999998</v>
      </c>
      <c r="E24">
        <v>139.80000000000001</v>
      </c>
      <c r="F24">
        <v>83.5</v>
      </c>
      <c r="G24">
        <f>SUM(B24:F24)</f>
        <v>697.5</v>
      </c>
      <c r="H24">
        <f t="shared" ref="H24:M26" si="10">B24*8760</f>
        <v>638604</v>
      </c>
      <c r="I24">
        <f t="shared" si="10"/>
        <v>953964</v>
      </c>
      <c r="J24">
        <f t="shared" si="10"/>
        <v>2561424</v>
      </c>
      <c r="K24">
        <f t="shared" si="10"/>
        <v>1224648</v>
      </c>
      <c r="L24">
        <f t="shared" si="10"/>
        <v>731460</v>
      </c>
      <c r="M24">
        <f t="shared" si="10"/>
        <v>6110100</v>
      </c>
      <c r="N24" s="598">
        <f>H24*$B$36</f>
        <v>0</v>
      </c>
      <c r="O24" s="598">
        <f>I24*$B$37</f>
        <v>0</v>
      </c>
      <c r="P24" s="598">
        <f>J24*$B$38</f>
        <v>0</v>
      </c>
      <c r="Q24" s="598">
        <f>K24*$B$39</f>
        <v>0</v>
      </c>
      <c r="R24" s="598">
        <f>L24*$B$40</f>
        <v>0</v>
      </c>
      <c r="S24" s="598">
        <f>SUM(N24:R24)</f>
        <v>0</v>
      </c>
      <c r="T24" s="598">
        <f>O24+P24</f>
        <v>0</v>
      </c>
    </row>
    <row r="25" spans="1:20" x14ac:dyDescent="0.25">
      <c r="A25" t="s">
        <v>229</v>
      </c>
      <c r="B25">
        <v>72.900000000000006</v>
      </c>
      <c r="C25">
        <v>117.9</v>
      </c>
      <c r="D25">
        <v>282.39999999999998</v>
      </c>
      <c r="E25">
        <v>128.80000000000001</v>
      </c>
      <c r="F25">
        <v>84.8</v>
      </c>
      <c r="G25">
        <f>SUM(B25:F25)</f>
        <v>686.8</v>
      </c>
      <c r="H25">
        <f t="shared" si="10"/>
        <v>638604</v>
      </c>
      <c r="I25">
        <f t="shared" si="10"/>
        <v>1032804</v>
      </c>
      <c r="J25">
        <f t="shared" si="10"/>
        <v>2473824</v>
      </c>
      <c r="K25">
        <f t="shared" si="10"/>
        <v>1128288</v>
      </c>
      <c r="L25">
        <f t="shared" si="10"/>
        <v>742848</v>
      </c>
      <c r="M25">
        <f t="shared" si="10"/>
        <v>6016368</v>
      </c>
      <c r="N25" s="598">
        <f>H25*$B$36</f>
        <v>0</v>
      </c>
      <c r="O25" s="598">
        <f>I25*$B$37</f>
        <v>0</v>
      </c>
      <c r="P25" s="598">
        <f>J25*$B$38</f>
        <v>0</v>
      </c>
      <c r="Q25" s="598">
        <f>K25*$B$39</f>
        <v>0</v>
      </c>
      <c r="R25" s="598">
        <f>L25*$B$40</f>
        <v>0</v>
      </c>
      <c r="S25" s="598">
        <f>SUM(N25:R25)</f>
        <v>0</v>
      </c>
      <c r="T25" s="598">
        <f>O25+P25</f>
        <v>0</v>
      </c>
    </row>
    <row r="26" spans="1:20" x14ac:dyDescent="0.25">
      <c r="A26" s="599" t="s">
        <v>205</v>
      </c>
      <c r="B26" s="606">
        <f t="shared" ref="B26:G26" si="11">B24-B25</f>
        <v>0</v>
      </c>
      <c r="C26" s="606">
        <f t="shared" si="11"/>
        <v>-9</v>
      </c>
      <c r="D26" s="606">
        <f t="shared" si="11"/>
        <v>10</v>
      </c>
      <c r="E26" s="606">
        <f t="shared" si="11"/>
        <v>11</v>
      </c>
      <c r="F26" s="606">
        <f t="shared" si="11"/>
        <v>-1.2999999999999972</v>
      </c>
      <c r="G26" s="606">
        <f t="shared" si="11"/>
        <v>10.700000000000045</v>
      </c>
      <c r="H26" s="606">
        <f t="shared" si="10"/>
        <v>0</v>
      </c>
      <c r="I26" s="606">
        <f t="shared" si="10"/>
        <v>-78840</v>
      </c>
      <c r="J26" s="606">
        <f t="shared" si="10"/>
        <v>87600</v>
      </c>
      <c r="K26" s="606">
        <f t="shared" si="10"/>
        <v>96360</v>
      </c>
      <c r="L26" s="606">
        <f t="shared" si="10"/>
        <v>-11387.999999999975</v>
      </c>
      <c r="M26" s="606">
        <f t="shared" si="10"/>
        <v>93732.000000000393</v>
      </c>
      <c r="N26" s="598">
        <f>H26*$B$36</f>
        <v>0</v>
      </c>
      <c r="O26" s="598">
        <f>I26*$B$37</f>
        <v>0</v>
      </c>
      <c r="P26" s="598">
        <f>J26*$B$38</f>
        <v>0</v>
      </c>
      <c r="Q26" s="598">
        <f>K26*$B$39</f>
        <v>0</v>
      </c>
      <c r="R26" s="598">
        <f>L26*$B$40</f>
        <v>0</v>
      </c>
      <c r="S26" s="598">
        <f>SUM(N26:R26)</f>
        <v>0</v>
      </c>
      <c r="T26" s="598">
        <f>O26+P26</f>
        <v>0</v>
      </c>
    </row>
    <row r="27" spans="1:20" x14ac:dyDescent="0.25">
      <c r="N27" s="113"/>
      <c r="O27" s="113"/>
      <c r="P27" s="113"/>
      <c r="Q27" s="113"/>
      <c r="R27" s="113"/>
      <c r="S27" s="598"/>
      <c r="T27" s="598" t="s">
        <v>72</v>
      </c>
    </row>
    <row r="28" spans="1:20" x14ac:dyDescent="0.25">
      <c r="A28" t="s">
        <v>211</v>
      </c>
      <c r="B28">
        <v>79.099999999999994</v>
      </c>
      <c r="C28">
        <v>120</v>
      </c>
      <c r="D28">
        <v>300.39999999999998</v>
      </c>
      <c r="E28">
        <v>134.9</v>
      </c>
      <c r="F28">
        <v>70.3</v>
      </c>
      <c r="G28">
        <f>SUM(B28:F28)</f>
        <v>704.69999999999993</v>
      </c>
      <c r="H28">
        <f t="shared" ref="H28:M30" si="12">B28*8760</f>
        <v>692916</v>
      </c>
      <c r="I28">
        <f t="shared" si="12"/>
        <v>1051200</v>
      </c>
      <c r="J28">
        <f t="shared" si="12"/>
        <v>2631504</v>
      </c>
      <c r="K28">
        <f t="shared" si="12"/>
        <v>1181724</v>
      </c>
      <c r="L28">
        <f t="shared" si="12"/>
        <v>615828</v>
      </c>
      <c r="M28">
        <f t="shared" si="12"/>
        <v>6173171.9999999991</v>
      </c>
      <c r="N28" s="598">
        <f>H28*$B$36</f>
        <v>0</v>
      </c>
      <c r="O28" s="598">
        <f>I28*$B$37</f>
        <v>0</v>
      </c>
      <c r="P28" s="598">
        <f>J28*$B$38</f>
        <v>0</v>
      </c>
      <c r="Q28" s="598">
        <f>K28*$B$39</f>
        <v>0</v>
      </c>
      <c r="R28" s="598">
        <f>L28*$B$40</f>
        <v>0</v>
      </c>
      <c r="S28" s="598">
        <f>SUM(N28:R28)</f>
        <v>0</v>
      </c>
      <c r="T28" s="598">
        <f>O28+P28</f>
        <v>0</v>
      </c>
    </row>
    <row r="29" spans="1:20" x14ac:dyDescent="0.25">
      <c r="A29" t="s">
        <v>230</v>
      </c>
      <c r="B29">
        <v>80.510000000000005</v>
      </c>
      <c r="C29">
        <v>121.72</v>
      </c>
      <c r="D29">
        <v>293.60000000000002</v>
      </c>
      <c r="E29">
        <v>132.6</v>
      </c>
      <c r="F29">
        <v>69.2</v>
      </c>
      <c r="G29">
        <f>SUM(B29:F29)</f>
        <v>697.63000000000011</v>
      </c>
      <c r="H29">
        <f t="shared" si="12"/>
        <v>705267.60000000009</v>
      </c>
      <c r="I29">
        <f t="shared" si="12"/>
        <v>1066267.2</v>
      </c>
      <c r="J29">
        <f t="shared" si="12"/>
        <v>2571936</v>
      </c>
      <c r="K29">
        <f t="shared" si="12"/>
        <v>1161576</v>
      </c>
      <c r="L29">
        <f t="shared" si="12"/>
        <v>606192</v>
      </c>
      <c r="M29">
        <f t="shared" si="12"/>
        <v>6111238.8000000007</v>
      </c>
      <c r="N29" s="598">
        <f>H29*$B$36</f>
        <v>0</v>
      </c>
      <c r="O29" s="598">
        <f>I29*$B$37</f>
        <v>0</v>
      </c>
      <c r="P29" s="598">
        <f>J29*$B$38</f>
        <v>0</v>
      </c>
      <c r="Q29" s="598">
        <f>K29*$B$39</f>
        <v>0</v>
      </c>
      <c r="R29" s="598">
        <f>L29*$B$40</f>
        <v>0</v>
      </c>
      <c r="S29" s="598">
        <f>SUM(N29:R29)</f>
        <v>0</v>
      </c>
      <c r="T29" s="598">
        <f>O29+P29</f>
        <v>0</v>
      </c>
    </row>
    <row r="30" spans="1:20" x14ac:dyDescent="0.25">
      <c r="A30" s="599" t="s">
        <v>205</v>
      </c>
      <c r="B30" s="607">
        <f t="shared" ref="B30:G30" si="13">B28-B29</f>
        <v>-1.4100000000000108</v>
      </c>
      <c r="C30" s="607">
        <f t="shared" si="13"/>
        <v>-1.7199999999999989</v>
      </c>
      <c r="D30" s="607">
        <f t="shared" si="13"/>
        <v>6.7999999999999545</v>
      </c>
      <c r="E30" s="607">
        <f t="shared" si="13"/>
        <v>2.3000000000000114</v>
      </c>
      <c r="F30" s="607">
        <f t="shared" si="13"/>
        <v>1.0999999999999943</v>
      </c>
      <c r="G30" s="607">
        <f t="shared" si="13"/>
        <v>7.0699999999998226</v>
      </c>
      <c r="H30" s="607">
        <f t="shared" si="12"/>
        <v>-12351.600000000095</v>
      </c>
      <c r="I30" s="607">
        <f t="shared" si="12"/>
        <v>-15067.19999999999</v>
      </c>
      <c r="J30" s="607">
        <f t="shared" si="12"/>
        <v>59567.9999999996</v>
      </c>
      <c r="K30" s="607">
        <f t="shared" si="12"/>
        <v>20148.000000000098</v>
      </c>
      <c r="L30" s="607">
        <f t="shared" si="12"/>
        <v>9635.9999999999509</v>
      </c>
      <c r="M30" s="607">
        <f t="shared" si="12"/>
        <v>61933.199999998447</v>
      </c>
      <c r="N30" s="598">
        <f>H30*$B$36</f>
        <v>0</v>
      </c>
      <c r="O30" s="598">
        <f>I30*$B$37</f>
        <v>0</v>
      </c>
      <c r="P30" s="598">
        <f>J30*$B$38</f>
        <v>0</v>
      </c>
      <c r="Q30" s="598">
        <f>K30*$B$39</f>
        <v>0</v>
      </c>
      <c r="R30" s="598">
        <f>L30*$B$40</f>
        <v>0</v>
      </c>
      <c r="S30" s="598">
        <f>SUM(N30:R30)</f>
        <v>0</v>
      </c>
      <c r="T30" s="598">
        <f>O30+P30</f>
        <v>0</v>
      </c>
    </row>
    <row r="31" spans="1:20" x14ac:dyDescent="0.25">
      <c r="T31" s="598" t="s">
        <v>72</v>
      </c>
    </row>
    <row r="32" spans="1:20" x14ac:dyDescent="0.25">
      <c r="A32" t="s">
        <v>212</v>
      </c>
      <c r="B32" s="608">
        <f t="shared" ref="B32:G32" si="14">AVERAGE(B4,B24,B28)</f>
        <v>79.400000000000006</v>
      </c>
      <c r="C32" s="608">
        <f t="shared" si="14"/>
        <v>113.36666666666667</v>
      </c>
      <c r="D32" s="608">
        <f t="shared" si="14"/>
        <v>325.66666666666663</v>
      </c>
      <c r="E32" s="608">
        <f t="shared" si="14"/>
        <v>160.96666666666667</v>
      </c>
      <c r="F32" s="608">
        <f t="shared" si="14"/>
        <v>93.166666666666671</v>
      </c>
      <c r="G32" s="608">
        <f t="shared" si="14"/>
        <v>772.56666666666661</v>
      </c>
      <c r="H32">
        <f t="shared" ref="H32:M32" si="15">B32*8760</f>
        <v>695544</v>
      </c>
      <c r="I32">
        <f t="shared" si="15"/>
        <v>993092.00000000012</v>
      </c>
      <c r="J32">
        <f t="shared" si="15"/>
        <v>2852839.9999999995</v>
      </c>
      <c r="K32">
        <f t="shared" si="15"/>
        <v>1410068</v>
      </c>
      <c r="L32">
        <f t="shared" si="15"/>
        <v>816140</v>
      </c>
      <c r="M32">
        <f t="shared" si="15"/>
        <v>6767683.9999999991</v>
      </c>
      <c r="N32" s="598">
        <f>H32*$B$36</f>
        <v>0</v>
      </c>
      <c r="O32" s="598">
        <f>I32*$B$37</f>
        <v>0</v>
      </c>
      <c r="P32" s="598">
        <f>J32*$B$38</f>
        <v>0</v>
      </c>
      <c r="Q32" s="598">
        <f>K32*$B$39</f>
        <v>0</v>
      </c>
      <c r="R32" s="598">
        <f>L32*$B$40</f>
        <v>0</v>
      </c>
      <c r="S32" s="598">
        <f>SUM(N32:R32)</f>
        <v>0</v>
      </c>
      <c r="T32" s="598">
        <f>O32+P32</f>
        <v>0</v>
      </c>
    </row>
    <row r="33" spans="1:20" x14ac:dyDescent="0.25">
      <c r="T33" s="598" t="s">
        <v>72</v>
      </c>
    </row>
    <row r="34" spans="1:20" x14ac:dyDescent="0.25">
      <c r="A34" t="s">
        <v>231</v>
      </c>
      <c r="B34" s="608">
        <f t="shared" ref="B34:G34" si="16">AVERAGE(B5,B25,B29)</f>
        <v>80.036666666666676</v>
      </c>
      <c r="C34" s="608">
        <f t="shared" si="16"/>
        <v>116.63999999999999</v>
      </c>
      <c r="D34" s="608">
        <f t="shared" si="16"/>
        <v>319.10000000000002</v>
      </c>
      <c r="E34" s="608">
        <f t="shared" si="16"/>
        <v>154.73333333333335</v>
      </c>
      <c r="F34" s="608">
        <f t="shared" si="16"/>
        <v>92.433333333333337</v>
      </c>
      <c r="G34" s="608">
        <f t="shared" si="16"/>
        <v>762.94333333333327</v>
      </c>
      <c r="H34">
        <f t="shared" ref="H34:M34" si="17">B34*8760</f>
        <v>701121.20000000007</v>
      </c>
      <c r="I34">
        <f t="shared" si="17"/>
        <v>1021766.3999999999</v>
      </c>
      <c r="J34">
        <f t="shared" si="17"/>
        <v>2795316</v>
      </c>
      <c r="K34">
        <f t="shared" si="17"/>
        <v>1355464.0000000002</v>
      </c>
      <c r="L34">
        <f t="shared" si="17"/>
        <v>809716</v>
      </c>
      <c r="M34">
        <f t="shared" si="17"/>
        <v>6683383.5999999996</v>
      </c>
      <c r="N34" s="598">
        <f>H34*$B$36</f>
        <v>0</v>
      </c>
      <c r="O34" s="598">
        <f>I34*$B$37</f>
        <v>0</v>
      </c>
      <c r="P34" s="598">
        <f>J34*$B$38</f>
        <v>0</v>
      </c>
      <c r="Q34" s="598">
        <f>K34*$B$39</f>
        <v>0</v>
      </c>
      <c r="R34" s="598">
        <f>L34*$B$40</f>
        <v>0</v>
      </c>
      <c r="S34" s="598">
        <f>SUM(N34:R34)</f>
        <v>0</v>
      </c>
      <c r="T34" s="598">
        <f>O34+P34</f>
        <v>0</v>
      </c>
    </row>
  </sheetData>
  <sheetProtection algorithmName="SHA-512" hashValue="hj8TVLHLt+CjSaH33Ml3X5pYIF2Uijkj5X9vism4m++NcH73V978G/nPUbxWyt8f8Oa0PMWx8tHvuTdimFjFvw==" saltValue="ZQ0hQjme7pAKxIgSVnBctQ==" spinCount="100000" sheet="1" objects="1" scenarios="1"/>
  <mergeCells count="3">
    <mergeCell ref="B2:G2"/>
    <mergeCell ref="H2:M2"/>
    <mergeCell ref="N2:S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1"/>
  <sheetViews>
    <sheetView workbookViewId="0">
      <selection activeCell="N12" sqref="N12:N15"/>
    </sheetView>
  </sheetViews>
  <sheetFormatPr defaultRowHeight="15" x14ac:dyDescent="0.25"/>
  <cols>
    <col min="2" max="2" width="12.5703125" bestFit="1" customWidth="1"/>
    <col min="3" max="3" width="20.5703125" customWidth="1"/>
    <col min="8" max="8" width="14.85546875" customWidth="1"/>
    <col min="9" max="9" width="12.7109375" customWidth="1"/>
    <col min="10" max="10" width="15.85546875" customWidth="1"/>
    <col min="11" max="11" width="12.7109375" customWidth="1"/>
    <col min="15" max="15" width="17.140625" customWidth="1"/>
    <col min="17" max="17" width="15.7109375" customWidth="1"/>
    <col min="18" max="18" width="16.7109375" customWidth="1"/>
    <col min="19" max="19" width="18.28515625" customWidth="1"/>
    <col min="20" max="20" width="16.7109375" customWidth="1"/>
  </cols>
  <sheetData>
    <row r="1" spans="1:20" x14ac:dyDescent="0.25">
      <c r="A1" t="s">
        <v>213</v>
      </c>
    </row>
    <row r="8" spans="1:20" x14ac:dyDescent="0.25">
      <c r="B8" s="51"/>
      <c r="C8" s="51"/>
      <c r="E8" s="609" t="s">
        <v>214</v>
      </c>
      <c r="F8" s="610"/>
      <c r="G8" s="610"/>
      <c r="H8" s="610"/>
      <c r="I8" s="610"/>
      <c r="J8" s="610"/>
      <c r="K8" s="611"/>
      <c r="N8" s="609" t="s">
        <v>214</v>
      </c>
      <c r="O8" s="610"/>
      <c r="P8" s="610"/>
      <c r="Q8" s="610"/>
      <c r="R8" s="610"/>
      <c r="S8" s="610"/>
      <c r="T8" s="611"/>
    </row>
    <row r="9" spans="1:20" x14ac:dyDescent="0.25">
      <c r="C9" s="612"/>
      <c r="E9" s="613"/>
      <c r="F9" s="29" t="s">
        <v>14</v>
      </c>
      <c r="G9" s="29"/>
      <c r="H9" s="614" t="s">
        <v>3</v>
      </c>
      <c r="I9" s="614" t="s">
        <v>2</v>
      </c>
      <c r="J9" s="614" t="s">
        <v>25</v>
      </c>
      <c r="K9" s="615" t="s">
        <v>1</v>
      </c>
      <c r="N9" s="613"/>
      <c r="O9" s="29" t="s">
        <v>14</v>
      </c>
      <c r="P9" s="29"/>
      <c r="Q9" s="614" t="s">
        <v>3</v>
      </c>
      <c r="R9" s="614" t="s">
        <v>2</v>
      </c>
      <c r="S9" s="614" t="s">
        <v>25</v>
      </c>
      <c r="T9" s="615" t="s">
        <v>1</v>
      </c>
    </row>
    <row r="10" spans="1:20" x14ac:dyDescent="0.25">
      <c r="B10" s="616">
        <v>7.3099999999999998E-2</v>
      </c>
      <c r="C10" s="617">
        <f>NPV($B$10,C12:C22)/C22</f>
        <v>0.46021191285479213</v>
      </c>
      <c r="E10" s="613"/>
      <c r="F10" s="618" t="s">
        <v>169</v>
      </c>
      <c r="G10" s="29" t="s">
        <v>215</v>
      </c>
      <c r="H10" s="598">
        <v>41918267.88030012</v>
      </c>
      <c r="I10" s="23">
        <v>18268005.068691671</v>
      </c>
      <c r="J10" s="619">
        <v>107598523.00438729</v>
      </c>
      <c r="K10" s="620">
        <v>23176643.600062847</v>
      </c>
      <c r="N10" s="613"/>
      <c r="O10" s="618" t="s">
        <v>169</v>
      </c>
      <c r="P10" s="29" t="s">
        <v>215</v>
      </c>
      <c r="Q10" s="643">
        <v>41918267.88030012</v>
      </c>
      <c r="R10" s="23">
        <v>18268005.068691671</v>
      </c>
      <c r="S10" s="622">
        <v>107598523.00438729</v>
      </c>
      <c r="T10" s="620">
        <v>23176643.600062847</v>
      </c>
    </row>
    <row r="11" spans="1:20" x14ac:dyDescent="0.25">
      <c r="B11" s="51"/>
      <c r="C11" s="621"/>
      <c r="E11" s="613"/>
      <c r="F11" s="618" t="s">
        <v>0</v>
      </c>
      <c r="G11" s="29" t="s">
        <v>215</v>
      </c>
      <c r="H11" s="75">
        <v>43606918.482113145</v>
      </c>
      <c r="I11" s="23">
        <v>18412936.951674439</v>
      </c>
      <c r="J11" s="622">
        <v>108145225.68791439</v>
      </c>
      <c r="K11" s="620">
        <v>22992280.644433677</v>
      </c>
      <c r="N11" s="613"/>
      <c r="O11" s="618" t="s">
        <v>0</v>
      </c>
      <c r="P11" s="29" t="s">
        <v>215</v>
      </c>
      <c r="Q11" s="75">
        <v>43606918.482113145</v>
      </c>
      <c r="R11" s="23">
        <v>18412936.951674439</v>
      </c>
      <c r="S11" s="622">
        <v>108145225.68791439</v>
      </c>
      <c r="T11" s="620">
        <v>22992280.644433677</v>
      </c>
    </row>
    <row r="12" spans="1:20" x14ac:dyDescent="0.25">
      <c r="B12" s="51">
        <v>2014</v>
      </c>
      <c r="C12" s="623">
        <v>0</v>
      </c>
      <c r="E12" s="613"/>
      <c r="F12" s="618" t="s">
        <v>67</v>
      </c>
      <c r="G12" s="29" t="s">
        <v>215</v>
      </c>
      <c r="H12" s="75">
        <v>60005792.775655806</v>
      </c>
      <c r="I12" s="23">
        <v>25376255.147710174</v>
      </c>
      <c r="J12" s="624">
        <v>128617992.95675386</v>
      </c>
      <c r="K12" s="625">
        <v>26438226.98786895</v>
      </c>
      <c r="N12" s="613" t="s">
        <v>223</v>
      </c>
      <c r="O12" s="618" t="s">
        <v>67</v>
      </c>
      <c r="P12" s="29" t="s">
        <v>215</v>
      </c>
      <c r="Q12" s="75">
        <v>58001084.574572943</v>
      </c>
      <c r="R12" s="23">
        <v>24803115</v>
      </c>
      <c r="S12" s="622">
        <v>127448306</v>
      </c>
      <c r="T12" s="620">
        <v>26611972.181655604</v>
      </c>
    </row>
    <row r="13" spans="1:20" x14ac:dyDescent="0.25">
      <c r="B13" s="51">
        <f t="shared" ref="B13:B22" si="0">B12+1</f>
        <v>2015</v>
      </c>
      <c r="C13" s="623">
        <v>0</v>
      </c>
      <c r="E13" s="613"/>
      <c r="F13" s="618" t="s">
        <v>68</v>
      </c>
      <c r="G13" s="29" t="s">
        <v>215</v>
      </c>
      <c r="H13" s="75">
        <v>51932778.668592401</v>
      </c>
      <c r="I13" s="23">
        <v>23637072.551916953</v>
      </c>
      <c r="J13" s="622">
        <v>113230016.8483602</v>
      </c>
      <c r="K13" s="626">
        <v>23774134.016473614</v>
      </c>
      <c r="N13" s="613" t="s">
        <v>223</v>
      </c>
      <c r="O13" s="618" t="s">
        <v>68</v>
      </c>
      <c r="P13" s="29" t="s">
        <v>215</v>
      </c>
      <c r="Q13" s="75">
        <v>50551155.448927194</v>
      </c>
      <c r="R13" s="23">
        <v>23162750.02579153</v>
      </c>
      <c r="S13" s="622">
        <v>112319482.77334003</v>
      </c>
      <c r="T13" s="626">
        <v>23947879.210260265</v>
      </c>
    </row>
    <row r="14" spans="1:20" x14ac:dyDescent="0.25">
      <c r="B14" s="51">
        <f t="shared" si="0"/>
        <v>2016</v>
      </c>
      <c r="C14" s="623">
        <v>0</v>
      </c>
      <c r="E14" s="613"/>
      <c r="F14" s="618" t="s">
        <v>69</v>
      </c>
      <c r="G14" s="29" t="s">
        <v>215</v>
      </c>
      <c r="H14" s="75">
        <v>50388611.540731281</v>
      </c>
      <c r="I14" s="23">
        <v>22668664.061077546</v>
      </c>
      <c r="J14" s="619">
        <v>112821812.43260738</v>
      </c>
      <c r="K14" s="626">
        <v>24121624.404046919</v>
      </c>
      <c r="N14" s="613" t="s">
        <v>223</v>
      </c>
      <c r="O14" s="618" t="s">
        <v>69</v>
      </c>
      <c r="P14" s="29" t="s">
        <v>215</v>
      </c>
      <c r="Q14" s="92">
        <v>49521710.697019778</v>
      </c>
      <c r="R14" s="75">
        <v>22312922.166483477</v>
      </c>
      <c r="S14" s="622">
        <v>112153869.49831</v>
      </c>
      <c r="T14" s="626">
        <v>24237454.53323802</v>
      </c>
    </row>
    <row r="15" spans="1:20" x14ac:dyDescent="0.25">
      <c r="B15" s="51">
        <f t="shared" si="0"/>
        <v>2017</v>
      </c>
      <c r="C15" s="623">
        <v>0</v>
      </c>
      <c r="E15" s="627"/>
      <c r="F15" s="628" t="s">
        <v>70</v>
      </c>
      <c r="G15" s="629" t="s">
        <v>215</v>
      </c>
      <c r="H15" s="630">
        <v>44591212.148410589</v>
      </c>
      <c r="I15" s="631">
        <v>21739782.447415259</v>
      </c>
      <c r="J15" s="632">
        <v>128125040.10258731</v>
      </c>
      <c r="K15" s="633">
        <v>21718149.223331559</v>
      </c>
      <c r="N15" s="627" t="s">
        <v>223</v>
      </c>
      <c r="O15" s="628" t="s">
        <v>70</v>
      </c>
      <c r="P15" s="629" t="s">
        <v>215</v>
      </c>
      <c r="Q15" s="634">
        <v>44455758.891580664</v>
      </c>
      <c r="R15" s="228">
        <v>21799072.763180934</v>
      </c>
      <c r="S15" s="635">
        <v>127924669.57793179</v>
      </c>
      <c r="T15" s="644">
        <v>21718149.223331559</v>
      </c>
    </row>
    <row r="16" spans="1:20" x14ac:dyDescent="0.25">
      <c r="B16" s="51">
        <f t="shared" si="0"/>
        <v>2018</v>
      </c>
      <c r="C16" s="623">
        <v>0</v>
      </c>
    </row>
    <row r="17" spans="2:20" x14ac:dyDescent="0.25">
      <c r="B17" s="51">
        <f t="shared" si="0"/>
        <v>2019</v>
      </c>
      <c r="C17" s="623">
        <v>0</v>
      </c>
      <c r="G17" s="636" t="s">
        <v>216</v>
      </c>
      <c r="H17" s="637">
        <f>$C$10</f>
        <v>0.46021191285479213</v>
      </c>
      <c r="I17" s="637">
        <f>$C$10</f>
        <v>0.46021191285479213</v>
      </c>
      <c r="J17" s="637">
        <f>$C$10</f>
        <v>0.46021191285479213</v>
      </c>
      <c r="K17" s="637">
        <f>$C$10</f>
        <v>0.46021191285479213</v>
      </c>
      <c r="P17" s="636" t="s">
        <v>216</v>
      </c>
      <c r="Q17" s="637">
        <f>$C$10</f>
        <v>0.46021191285479213</v>
      </c>
      <c r="R17" s="637">
        <f>$C$10</f>
        <v>0.46021191285479213</v>
      </c>
      <c r="S17" s="637">
        <f>$C$10</f>
        <v>0.46021191285479213</v>
      </c>
      <c r="T17" s="637">
        <f>$C$10</f>
        <v>0.46021191285479213</v>
      </c>
    </row>
    <row r="18" spans="2:20" x14ac:dyDescent="0.25">
      <c r="B18" s="51">
        <f t="shared" si="0"/>
        <v>2020</v>
      </c>
      <c r="C18" s="623">
        <v>0</v>
      </c>
    </row>
    <row r="19" spans="2:20" x14ac:dyDescent="0.25">
      <c r="B19" s="51">
        <f t="shared" si="0"/>
        <v>2021</v>
      </c>
      <c r="C19" s="623">
        <v>0</v>
      </c>
      <c r="E19" s="638" t="s">
        <v>217</v>
      </c>
      <c r="F19" s="639"/>
      <c r="G19" s="639"/>
      <c r="H19" s="639"/>
      <c r="I19" s="639"/>
      <c r="J19" s="610"/>
      <c r="K19" s="611"/>
      <c r="N19" s="638" t="s">
        <v>217</v>
      </c>
      <c r="O19" s="639"/>
      <c r="P19" s="639"/>
      <c r="Q19" s="639"/>
      <c r="R19" s="639"/>
      <c r="S19" s="610"/>
      <c r="T19" s="611"/>
    </row>
    <row r="20" spans="2:20" x14ac:dyDescent="0.25">
      <c r="B20" s="51">
        <f t="shared" si="0"/>
        <v>2022</v>
      </c>
      <c r="C20" s="623">
        <v>0</v>
      </c>
      <c r="E20" s="613"/>
      <c r="F20" s="29" t="s">
        <v>14</v>
      </c>
      <c r="G20" s="29"/>
      <c r="H20" s="614" t="s">
        <v>3</v>
      </c>
      <c r="I20" s="614" t="s">
        <v>2</v>
      </c>
      <c r="J20" s="614" t="s">
        <v>25</v>
      </c>
      <c r="K20" s="615" t="s">
        <v>1</v>
      </c>
      <c r="N20" s="613"/>
      <c r="O20" s="29" t="s">
        <v>14</v>
      </c>
      <c r="P20" s="29"/>
      <c r="Q20" s="614" t="s">
        <v>3</v>
      </c>
      <c r="R20" s="614" t="s">
        <v>2</v>
      </c>
      <c r="S20" s="614" t="s">
        <v>25</v>
      </c>
      <c r="T20" s="615" t="s">
        <v>1</v>
      </c>
    </row>
    <row r="21" spans="2:20" x14ac:dyDescent="0.25">
      <c r="B21" s="51">
        <f t="shared" si="0"/>
        <v>2023</v>
      </c>
      <c r="C21" s="623">
        <v>0</v>
      </c>
      <c r="E21" s="613"/>
      <c r="F21" s="618" t="s">
        <v>169</v>
      </c>
      <c r="G21" s="29" t="s">
        <v>218</v>
      </c>
      <c r="H21" s="75">
        <f t="shared" ref="H21:K26" si="1">H10*H$17</f>
        <v>19291286.244752511</v>
      </c>
      <c r="I21" s="75">
        <f t="shared" si="1"/>
        <v>8407153.5567036327</v>
      </c>
      <c r="J21" s="75">
        <f t="shared" si="1"/>
        <v>49518122.09219943</v>
      </c>
      <c r="K21" s="620">
        <f t="shared" si="1"/>
        <v>10666167.484738698</v>
      </c>
      <c r="N21" s="613"/>
      <c r="O21" s="618" t="s">
        <v>169</v>
      </c>
      <c r="P21" s="29" t="s">
        <v>218</v>
      </c>
      <c r="Q21" s="75">
        <f t="shared" ref="Q21:T26" si="2">Q10*Q$17</f>
        <v>19291286.244752511</v>
      </c>
      <c r="R21" s="75">
        <f t="shared" si="2"/>
        <v>8407153.5567036327</v>
      </c>
      <c r="S21" s="75">
        <f t="shared" si="2"/>
        <v>49518122.09219943</v>
      </c>
      <c r="T21" s="620">
        <f t="shared" si="2"/>
        <v>10666167.484738698</v>
      </c>
    </row>
    <row r="22" spans="2:20" x14ac:dyDescent="0.25">
      <c r="B22" s="51">
        <f t="shared" si="0"/>
        <v>2024</v>
      </c>
      <c r="C22" s="640">
        <v>1</v>
      </c>
      <c r="E22" s="613"/>
      <c r="F22" s="618" t="s">
        <v>0</v>
      </c>
      <c r="G22" s="29" t="str">
        <f>G21</f>
        <v>2014$</v>
      </c>
      <c r="H22" s="75">
        <f t="shared" si="1"/>
        <v>20068423.36835628</v>
      </c>
      <c r="I22" s="75">
        <f t="shared" si="1"/>
        <v>8473852.9358047787</v>
      </c>
      <c r="J22" s="75">
        <f t="shared" si="1"/>
        <v>49769721.179948285</v>
      </c>
      <c r="K22" s="620">
        <f t="shared" si="1"/>
        <v>10581321.456269035</v>
      </c>
      <c r="N22" s="613"/>
      <c r="O22" s="618" t="s">
        <v>0</v>
      </c>
      <c r="P22" s="29" t="str">
        <f>P21</f>
        <v>2014$</v>
      </c>
      <c r="Q22" s="75">
        <f t="shared" si="2"/>
        <v>20068423.36835628</v>
      </c>
      <c r="R22" s="75">
        <f t="shared" si="2"/>
        <v>8473852.9358047787</v>
      </c>
      <c r="S22" s="75">
        <f t="shared" si="2"/>
        <v>49769721.179948285</v>
      </c>
      <c r="T22" s="620">
        <f t="shared" si="2"/>
        <v>10581321.456269035</v>
      </c>
    </row>
    <row r="23" spans="2:20" x14ac:dyDescent="0.25">
      <c r="B23" s="51"/>
      <c r="C23" s="51"/>
      <c r="E23" s="613"/>
      <c r="F23" s="618" t="s">
        <v>67</v>
      </c>
      <c r="G23" s="29" t="str">
        <f>G22</f>
        <v>2014$</v>
      </c>
      <c r="H23" s="75">
        <f t="shared" si="1"/>
        <v>27615380.675652824</v>
      </c>
      <c r="I23" s="75">
        <f t="shared" si="1"/>
        <v>11678454.922618965</v>
      </c>
      <c r="J23" s="92">
        <f t="shared" si="1"/>
        <v>59191532.566171877</v>
      </c>
      <c r="K23" s="625">
        <f t="shared" si="1"/>
        <v>12167187.014576359</v>
      </c>
      <c r="N23" s="613" t="s">
        <v>223</v>
      </c>
      <c r="O23" s="618" t="s">
        <v>67</v>
      </c>
      <c r="P23" s="29" t="str">
        <f>P22</f>
        <v>2014$</v>
      </c>
      <c r="Q23" s="75">
        <f t="shared" si="2"/>
        <v>26692790.07971679</v>
      </c>
      <c r="R23" s="75">
        <f t="shared" si="2"/>
        <v>11414688.998907387</v>
      </c>
      <c r="S23" s="75">
        <f t="shared" si="2"/>
        <v>58653228.694362879</v>
      </c>
      <c r="T23" s="620">
        <f t="shared" si="2"/>
        <v>12247146.622558242</v>
      </c>
    </row>
    <row r="24" spans="2:20" x14ac:dyDescent="0.25">
      <c r="E24" s="613"/>
      <c r="F24" s="618" t="s">
        <v>68</v>
      </c>
      <c r="G24" s="29" t="str">
        <f>G23</f>
        <v>2014$</v>
      </c>
      <c r="H24" s="75">
        <f t="shared" si="1"/>
        <v>23900083.410937455</v>
      </c>
      <c r="I24" s="75">
        <f t="shared" si="1"/>
        <v>10878062.373405203</v>
      </c>
      <c r="J24" s="75">
        <f t="shared" si="1"/>
        <v>52109802.64636419</v>
      </c>
      <c r="K24" s="620">
        <f t="shared" si="1"/>
        <v>10941139.692187503</v>
      </c>
      <c r="N24" s="613" t="s">
        <v>223</v>
      </c>
      <c r="O24" s="618" t="s">
        <v>68</v>
      </c>
      <c r="P24" s="29" t="str">
        <f>P23</f>
        <v>2014$</v>
      </c>
      <c r="Q24" s="75">
        <f t="shared" si="2"/>
        <v>23264243.946170732</v>
      </c>
      <c r="R24" s="75">
        <f t="shared" si="2"/>
        <v>10659773.496346906</v>
      </c>
      <c r="S24" s="75">
        <f t="shared" si="2"/>
        <v>51690764.017979689</v>
      </c>
      <c r="T24" s="620">
        <f t="shared" si="2"/>
        <v>11021099.300169384</v>
      </c>
    </row>
    <row r="25" spans="2:20" x14ac:dyDescent="0.25">
      <c r="E25" s="613"/>
      <c r="F25" s="618" t="s">
        <v>69</v>
      </c>
      <c r="G25" s="29" t="str">
        <f>G24</f>
        <v>2014$</v>
      </c>
      <c r="H25" s="75">
        <f t="shared" si="1"/>
        <v>23189439.303256996</v>
      </c>
      <c r="I25" s="75">
        <f t="shared" si="1"/>
        <v>10432389.249411179</v>
      </c>
      <c r="J25" s="75">
        <f t="shared" si="1"/>
        <v>51921942.111354813</v>
      </c>
      <c r="K25" s="620">
        <f t="shared" si="1"/>
        <v>11101058.908151267</v>
      </c>
      <c r="N25" s="613" t="s">
        <v>223</v>
      </c>
      <c r="O25" s="618" t="s">
        <v>69</v>
      </c>
      <c r="P25" s="29" t="str">
        <f>P24</f>
        <v>2014$</v>
      </c>
      <c r="Q25" s="75">
        <f t="shared" si="2"/>
        <v>22790481.207717095</v>
      </c>
      <c r="R25" s="75">
        <f t="shared" si="2"/>
        <v>10268672.591617454</v>
      </c>
      <c r="S25" s="75">
        <f t="shared" si="2"/>
        <v>51614546.815883972</v>
      </c>
      <c r="T25" s="620">
        <f t="shared" si="2"/>
        <v>11154365.313472522</v>
      </c>
    </row>
    <row r="26" spans="2:20" x14ac:dyDescent="0.25">
      <c r="E26" s="627"/>
      <c r="F26" s="628" t="s">
        <v>70</v>
      </c>
      <c r="G26" s="629" t="str">
        <f>G25</f>
        <v>2014$</v>
      </c>
      <c r="H26" s="630">
        <f t="shared" si="1"/>
        <v>20521407.03933388</v>
      </c>
      <c r="I26" s="630">
        <f t="shared" si="1"/>
        <v>10004906.86517201</v>
      </c>
      <c r="J26" s="630">
        <f t="shared" si="1"/>
        <v>58964669.79020866</v>
      </c>
      <c r="K26" s="642">
        <f t="shared" si="1"/>
        <v>9994950.9977352358</v>
      </c>
      <c r="N26" s="627" t="s">
        <v>223</v>
      </c>
      <c r="O26" s="628" t="s">
        <v>70</v>
      </c>
      <c r="P26" s="629" t="str">
        <f>P25</f>
        <v>2014$</v>
      </c>
      <c r="Q26" s="634">
        <f t="shared" si="2"/>
        <v>20459069.83690577</v>
      </c>
      <c r="R26" s="634">
        <f t="shared" si="2"/>
        <v>10032192.974804297</v>
      </c>
      <c r="S26" s="634">
        <f t="shared" si="2"/>
        <v>58872456.887777224</v>
      </c>
      <c r="T26" s="642">
        <f t="shared" si="2"/>
        <v>9994950.9977352358</v>
      </c>
    </row>
    <row r="27" spans="2:20" x14ac:dyDescent="0.25">
      <c r="H27" s="51"/>
      <c r="I27" s="51"/>
      <c r="J27" s="51"/>
      <c r="K27" s="51"/>
    </row>
    <row r="28" spans="2:20" x14ac:dyDescent="0.25">
      <c r="F28" s="2" t="s">
        <v>219</v>
      </c>
      <c r="H28" s="9">
        <f t="shared" ref="H28:K31" si="3">Q23-H23</f>
        <v>-922590.59593603387</v>
      </c>
      <c r="I28" s="9">
        <f t="shared" si="3"/>
        <v>-263765.92371157743</v>
      </c>
      <c r="J28" s="9">
        <f t="shared" si="3"/>
        <v>-538303.87180899829</v>
      </c>
      <c r="K28" s="9">
        <f t="shared" si="3"/>
        <v>79959.607981882989</v>
      </c>
    </row>
    <row r="29" spans="2:20" x14ac:dyDescent="0.25">
      <c r="F29" s="641" t="s">
        <v>220</v>
      </c>
      <c r="H29" s="9">
        <f t="shared" si="3"/>
        <v>-635839.46476672217</v>
      </c>
      <c r="I29" s="9">
        <f t="shared" si="3"/>
        <v>-218288.8770582974</v>
      </c>
      <c r="J29" s="9">
        <f t="shared" si="3"/>
        <v>-419038.62838450074</v>
      </c>
      <c r="K29" s="9">
        <f t="shared" si="3"/>
        <v>79959.607981881127</v>
      </c>
    </row>
    <row r="30" spans="2:20" x14ac:dyDescent="0.25">
      <c r="F30" s="636" t="s">
        <v>221</v>
      </c>
      <c r="H30" s="9">
        <f t="shared" si="3"/>
        <v>-398958.09553990141</v>
      </c>
      <c r="I30" s="9">
        <f t="shared" si="3"/>
        <v>-163716.65779372491</v>
      </c>
      <c r="J30" s="9">
        <f t="shared" si="3"/>
        <v>-307395.29547084123</v>
      </c>
      <c r="K30" s="9">
        <f t="shared" si="3"/>
        <v>53306.405321255326</v>
      </c>
    </row>
    <row r="31" spans="2:20" x14ac:dyDescent="0.25">
      <c r="F31" s="636" t="s">
        <v>222</v>
      </c>
      <c r="H31" s="9">
        <f t="shared" si="3"/>
        <v>-62337.202428109944</v>
      </c>
      <c r="I31" s="9">
        <f t="shared" si="3"/>
        <v>27286.109632287174</v>
      </c>
      <c r="J31" s="9">
        <f t="shared" si="3"/>
        <v>-92212.902431435883</v>
      </c>
      <c r="K31" s="9">
        <f t="shared" si="3"/>
        <v>0</v>
      </c>
    </row>
  </sheetData>
  <sheetProtection algorithmName="SHA-512" hashValue="Tg5ZclDXkvS5EqidSH7j4pZNanVusCYXxurDQTBnufN71m4wfIESpgwBMw0DFk6innxcK3p53jgPxviX5Lgr0A==" saltValue="kmH+O00zSGyy2ae8qZoQOg==" spinCount="100000" sheet="1" objects="1" scenarios="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63"/>
  <sheetViews>
    <sheetView showGridLines="0" zoomScale="90" zoomScaleNormal="90" workbookViewId="0">
      <selection activeCell="B30" sqref="B30:E30"/>
    </sheetView>
  </sheetViews>
  <sheetFormatPr defaultColWidth="9.140625" defaultRowHeight="15" x14ac:dyDescent="0.25"/>
  <cols>
    <col min="1" max="1" width="10.7109375" style="123" customWidth="1"/>
    <col min="2" max="2" width="33.140625" style="123" customWidth="1"/>
    <col min="3" max="3" width="28" style="124" bestFit="1" customWidth="1"/>
    <col min="4" max="4" width="17.7109375" style="124" customWidth="1"/>
    <col min="5" max="5" width="23.28515625" style="124" bestFit="1" customWidth="1"/>
    <col min="6" max="6" width="20.140625" style="124" customWidth="1"/>
    <col min="7" max="7" width="18.5703125" style="124" customWidth="1"/>
    <col min="8" max="8" width="16.7109375" style="124" customWidth="1"/>
    <col min="9" max="9" width="20" style="124" bestFit="1" customWidth="1"/>
    <col min="10" max="10" width="14.140625" style="123" customWidth="1"/>
    <col min="11" max="12" width="14" style="126" customWidth="1"/>
    <col min="13" max="13" width="15.85546875" style="126" customWidth="1"/>
    <col min="14" max="14" width="14" style="126" customWidth="1"/>
    <col min="15" max="15" width="14.85546875" style="123" customWidth="1"/>
    <col min="16" max="16" width="14.140625" style="123" bestFit="1" customWidth="1"/>
    <col min="17" max="18" width="13.140625" style="123" bestFit="1" customWidth="1"/>
    <col min="19" max="19" width="15" style="123" bestFit="1" customWidth="1"/>
    <col min="20" max="16384" width="9.140625" style="123"/>
  </cols>
  <sheetData>
    <row r="1" spans="1:14" ht="18.75" x14ac:dyDescent="0.3">
      <c r="A1" s="120" t="s">
        <v>83</v>
      </c>
      <c r="B1" s="121"/>
      <c r="C1" s="122"/>
      <c r="D1" s="123"/>
      <c r="I1" s="125"/>
      <c r="J1" s="125"/>
    </row>
    <row r="2" spans="1:14" ht="15.75" x14ac:dyDescent="0.25">
      <c r="A2" s="91" t="s">
        <v>82</v>
      </c>
      <c r="B2" s="127"/>
      <c r="C2" s="128"/>
      <c r="D2" s="123"/>
      <c r="F2" s="129"/>
      <c r="H2" s="119"/>
      <c r="I2" s="119"/>
      <c r="J2" s="119"/>
    </row>
    <row r="3" spans="1:14" ht="15.75" x14ac:dyDescent="0.25">
      <c r="A3" s="247"/>
      <c r="B3" s="175"/>
      <c r="C3" s="144"/>
      <c r="D3" s="123"/>
      <c r="F3" s="129"/>
      <c r="H3" s="119"/>
      <c r="I3" s="119"/>
      <c r="J3" s="119"/>
    </row>
    <row r="4" spans="1:14" x14ac:dyDescent="0.25">
      <c r="A4" s="258" t="s">
        <v>136</v>
      </c>
      <c r="B4" s="257"/>
      <c r="C4" s="369"/>
      <c r="D4" s="257"/>
      <c r="E4" s="257"/>
      <c r="F4" s="257"/>
      <c r="G4" s="257"/>
      <c r="H4" s="257"/>
      <c r="I4" s="257"/>
      <c r="J4" s="257"/>
      <c r="K4" s="257"/>
      <c r="L4" s="257"/>
      <c r="M4" s="257"/>
    </row>
    <row r="5" spans="1:14" s="176" customFormat="1" x14ac:dyDescent="0.25">
      <c r="A5" s="259"/>
      <c r="B5" s="260"/>
      <c r="C5" s="260"/>
      <c r="D5" s="260"/>
      <c r="E5" s="260"/>
      <c r="F5" s="260"/>
      <c r="G5" s="260"/>
      <c r="H5" s="260"/>
      <c r="I5" s="260"/>
      <c r="J5" s="260"/>
      <c r="K5" s="260"/>
      <c r="L5" s="260"/>
      <c r="M5" s="260"/>
      <c r="N5" s="270"/>
    </row>
    <row r="6" spans="1:14" s="176" customFormat="1" x14ac:dyDescent="0.25">
      <c r="B6" s="260"/>
      <c r="C6" s="260"/>
      <c r="D6" s="260"/>
      <c r="E6" s="260"/>
      <c r="F6" s="260"/>
      <c r="G6" s="260"/>
      <c r="H6" s="260"/>
      <c r="I6" s="260"/>
      <c r="J6" s="260"/>
      <c r="K6" s="260"/>
      <c r="L6" s="260"/>
      <c r="M6" s="260"/>
      <c r="N6" s="270"/>
    </row>
    <row r="7" spans="1:14" s="311" customFormat="1" x14ac:dyDescent="0.25">
      <c r="D7" s="377" t="s">
        <v>93</v>
      </c>
      <c r="E7" s="377"/>
      <c r="F7" s="377" t="s">
        <v>121</v>
      </c>
      <c r="I7" s="313"/>
      <c r="K7" s="315"/>
      <c r="L7" s="315"/>
      <c r="M7" s="315"/>
      <c r="N7" s="315"/>
    </row>
    <row r="8" spans="1:14" s="311" customFormat="1" x14ac:dyDescent="0.25">
      <c r="C8" s="518" t="s">
        <v>166</v>
      </c>
      <c r="D8" s="518"/>
      <c r="E8" s="519" t="s">
        <v>0</v>
      </c>
      <c r="F8" s="519"/>
      <c r="I8" s="313"/>
      <c r="K8" s="315"/>
      <c r="L8" s="315"/>
      <c r="M8" s="315"/>
      <c r="N8" s="315"/>
    </row>
    <row r="9" spans="1:14" s="378" customFormat="1" x14ac:dyDescent="0.25">
      <c r="C9" s="458" t="s">
        <v>167</v>
      </c>
      <c r="D9" s="381">
        <f>4677693948+1200000000</f>
        <v>5877693948</v>
      </c>
      <c r="E9" s="457" t="s">
        <v>157</v>
      </c>
      <c r="F9" s="381">
        <f>1200000000+2744026994</f>
        <v>3944026994</v>
      </c>
      <c r="I9" s="379"/>
      <c r="K9" s="380"/>
      <c r="L9" s="380"/>
      <c r="M9" s="380"/>
      <c r="N9" s="380"/>
    </row>
    <row r="10" spans="1:14" x14ac:dyDescent="0.25">
      <c r="B10" s="109"/>
      <c r="C10" s="133"/>
      <c r="E10" s="251" t="s">
        <v>87</v>
      </c>
      <c r="F10" s="381">
        <f>2744026994</f>
        <v>2744026994</v>
      </c>
      <c r="H10" s="109"/>
      <c r="J10" s="134"/>
    </row>
    <row r="11" spans="1:14" x14ac:dyDescent="0.25">
      <c r="B11" s="109"/>
      <c r="C11" s="133"/>
      <c r="E11" s="109"/>
      <c r="H11" s="109"/>
      <c r="J11" s="134"/>
    </row>
    <row r="12" spans="1:14" x14ac:dyDescent="0.25">
      <c r="A12" s="370" t="s">
        <v>135</v>
      </c>
      <c r="B12" s="371"/>
      <c r="C12" s="372"/>
      <c r="D12" s="373"/>
      <c r="E12" s="371"/>
      <c r="F12" s="373"/>
      <c r="G12" s="373"/>
      <c r="H12" s="371"/>
      <c r="I12" s="373"/>
      <c r="J12" s="374"/>
      <c r="K12" s="375"/>
      <c r="L12" s="375"/>
      <c r="M12" s="375"/>
    </row>
    <row r="13" spans="1:14" x14ac:dyDescent="0.25">
      <c r="B13" s="109"/>
      <c r="C13" s="133"/>
      <c r="E13" s="109"/>
      <c r="H13" s="109"/>
      <c r="J13" s="134"/>
    </row>
    <row r="14" spans="1:14" x14ac:dyDescent="0.25">
      <c r="A14" s="376" t="s">
        <v>118</v>
      </c>
      <c r="B14" s="109"/>
      <c r="C14" s="133"/>
      <c r="E14" s="142"/>
      <c r="H14" s="109"/>
    </row>
    <row r="15" spans="1:14" x14ac:dyDescent="0.25">
      <c r="A15" s="259"/>
      <c r="B15" s="109"/>
      <c r="C15" s="133"/>
      <c r="E15" s="142"/>
      <c r="H15" s="109"/>
    </row>
    <row r="16" spans="1:14" x14ac:dyDescent="0.25">
      <c r="A16"/>
      <c r="B16"/>
      <c r="C16" s="368" t="s">
        <v>137</v>
      </c>
      <c r="D16" s="368" t="s">
        <v>65</v>
      </c>
      <c r="E16" s="110"/>
      <c r="F16" s="143"/>
      <c r="G16" s="143"/>
      <c r="H16" s="143"/>
      <c r="I16" s="51"/>
    </row>
    <row r="17" spans="1:9" ht="30" x14ac:dyDescent="0.25">
      <c r="A17"/>
      <c r="B17"/>
      <c r="C17" s="367" t="s">
        <v>133</v>
      </c>
      <c r="D17" s="331" t="s">
        <v>168</v>
      </c>
      <c r="E17" s="363"/>
      <c r="F17" s="363"/>
      <c r="G17" s="363"/>
      <c r="H17" s="363"/>
      <c r="I17" s="363"/>
    </row>
    <row r="18" spans="1:9" s="281" customFormat="1" x14ac:dyDescent="0.25">
      <c r="A18" s="278" t="s">
        <v>166</v>
      </c>
      <c r="B18" s="279" t="str">
        <f>C9</f>
        <v xml:space="preserve">Non-Committed IRP Projects </v>
      </c>
      <c r="C18" s="280">
        <f>Planning!D9</f>
        <v>5877693948</v>
      </c>
      <c r="D18" s="278"/>
      <c r="E18" s="364"/>
      <c r="F18" s="364"/>
      <c r="G18" s="364"/>
      <c r="H18" s="364"/>
      <c r="I18" s="364"/>
    </row>
    <row r="19" spans="1:9" s="308" customFormat="1" x14ac:dyDescent="0.25">
      <c r="A19" s="278" t="s">
        <v>0</v>
      </c>
      <c r="B19" s="282" t="str">
        <f>E9</f>
        <v>Non-Committed DFRTP</v>
      </c>
      <c r="C19" s="280">
        <f>Planning!F9</f>
        <v>3944026994</v>
      </c>
      <c r="D19" s="283">
        <f>C18-C19</f>
        <v>1933666954</v>
      </c>
      <c r="E19" s="365"/>
      <c r="F19" s="365"/>
      <c r="G19" s="365"/>
      <c r="H19" s="365"/>
      <c r="I19" s="365"/>
    </row>
    <row r="20" spans="1:9" s="308" customFormat="1" x14ac:dyDescent="0.25">
      <c r="E20" s="366"/>
      <c r="F20" s="364"/>
      <c r="G20" s="364"/>
      <c r="H20" s="364"/>
      <c r="I20" s="364"/>
    </row>
    <row r="21" spans="1:9" x14ac:dyDescent="0.25">
      <c r="A21" s="276"/>
      <c r="B21"/>
      <c r="C21"/>
      <c r="D21"/>
      <c r="E21"/>
      <c r="F21"/>
      <c r="G21" s="171"/>
      <c r="H21"/>
      <c r="I21"/>
    </row>
    <row r="22" spans="1:9" x14ac:dyDescent="0.25">
      <c r="A22" s="274" t="s">
        <v>138</v>
      </c>
      <c r="C22" s="205"/>
      <c r="D22" s="205"/>
      <c r="E22" s="205"/>
      <c r="F22" s="205"/>
      <c r="G22" s="171"/>
      <c r="H22"/>
      <c r="I22"/>
    </row>
    <row r="23" spans="1:9" x14ac:dyDescent="0.25">
      <c r="A23" s="51"/>
      <c r="C23" s="69"/>
      <c r="D23" s="69"/>
      <c r="E23" s="384"/>
      <c r="F23" s="123"/>
      <c r="G23"/>
      <c r="H23"/>
      <c r="I23"/>
    </row>
    <row r="24" spans="1:9" x14ac:dyDescent="0.25">
      <c r="A24" s="51"/>
      <c r="B24" s="466" t="s">
        <v>152</v>
      </c>
      <c r="C24" s="386" t="s">
        <v>88</v>
      </c>
      <c r="D24" s="386" t="s">
        <v>97</v>
      </c>
      <c r="E24" s="221" t="s">
        <v>153</v>
      </c>
      <c r="F24" s="143"/>
      <c r="G24"/>
      <c r="H24" s="123"/>
      <c r="I24" s="123"/>
    </row>
    <row r="25" spans="1:9" x14ac:dyDescent="0.25">
      <c r="A25" s="51"/>
      <c r="B25" s="286" t="s">
        <v>111</v>
      </c>
      <c r="C25" s="433">
        <v>1800</v>
      </c>
      <c r="D25" s="285">
        <f>C25/C$28</f>
        <v>0.49833887043189368</v>
      </c>
      <c r="E25" s="283">
        <f>D$19*D25</f>
        <v>963621405.6478405</v>
      </c>
      <c r="F25" s="143"/>
      <c r="G25"/>
      <c r="H25" s="123"/>
      <c r="I25" s="123"/>
    </row>
    <row r="26" spans="1:9" ht="15" customHeight="1" x14ac:dyDescent="0.25">
      <c r="A26" s="51"/>
      <c r="B26" s="385" t="s">
        <v>144</v>
      </c>
      <c r="C26" s="304">
        <v>712</v>
      </c>
      <c r="D26" s="285">
        <f>C26/C$28</f>
        <v>0.19712070874861573</v>
      </c>
      <c r="E26" s="283">
        <f>D$19*D26</f>
        <v>381165800.45625693</v>
      </c>
      <c r="F26" s="467"/>
      <c r="G26"/>
      <c r="H26" s="123"/>
      <c r="I26" s="123"/>
    </row>
    <row r="27" spans="1:9" x14ac:dyDescent="0.25">
      <c r="A27" s="51"/>
      <c r="B27" s="286" t="s">
        <v>143</v>
      </c>
      <c r="C27" s="304">
        <v>1100</v>
      </c>
      <c r="D27" s="285">
        <f>C27/C$28</f>
        <v>0.30454042081949056</v>
      </c>
      <c r="E27" s="283">
        <f>D$19*D27</f>
        <v>588879747.89590251</v>
      </c>
      <c r="F27" s="467"/>
      <c r="G27"/>
      <c r="H27" s="123"/>
      <c r="I27" s="123"/>
    </row>
    <row r="28" spans="1:9" x14ac:dyDescent="0.25">
      <c r="A28" s="51"/>
      <c r="B28" s="284" t="s">
        <v>142</v>
      </c>
      <c r="C28" s="221">
        <f>SUM(C25:C27)</f>
        <v>3612</v>
      </c>
      <c r="D28" s="287">
        <f>SUM(D25:D27)</f>
        <v>1</v>
      </c>
      <c r="E28" s="283">
        <f>SUM(E25:E27)</f>
        <v>1933666954</v>
      </c>
      <c r="F28" s="143"/>
      <c r="G28"/>
      <c r="H28" s="123"/>
      <c r="I28" s="123"/>
    </row>
    <row r="29" spans="1:9" x14ac:dyDescent="0.25">
      <c r="A29" s="51"/>
      <c r="B29" s="497" t="s">
        <v>160</v>
      </c>
      <c r="C29" s="498"/>
      <c r="D29" s="499"/>
      <c r="E29" s="500"/>
      <c r="F29" s="143"/>
      <c r="G29"/>
      <c r="H29" s="313"/>
      <c r="I29" s="123"/>
    </row>
    <row r="30" spans="1:9" ht="45" customHeight="1" x14ac:dyDescent="0.25">
      <c r="A30" s="51"/>
      <c r="B30" s="521" t="s">
        <v>163</v>
      </c>
      <c r="C30" s="522"/>
      <c r="D30" s="522"/>
      <c r="E30" s="523"/>
      <c r="F30" s="143"/>
      <c r="G30"/>
      <c r="H30" s="123"/>
      <c r="I30" s="123"/>
    </row>
    <row r="31" spans="1:9" ht="45" customHeight="1" x14ac:dyDescent="0.25">
      <c r="A31" s="51"/>
      <c r="B31" s="533" t="s">
        <v>161</v>
      </c>
      <c r="C31" s="534"/>
      <c r="D31" s="534"/>
      <c r="E31" s="535"/>
      <c r="F31" s="143"/>
      <c r="G31"/>
      <c r="H31" s="123"/>
      <c r="I31" s="123"/>
    </row>
    <row r="32" spans="1:9" ht="45" customHeight="1" x14ac:dyDescent="0.25">
      <c r="A32" s="51"/>
      <c r="B32" s="524" t="s">
        <v>162</v>
      </c>
      <c r="C32" s="525"/>
      <c r="D32" s="525"/>
      <c r="E32" s="526"/>
      <c r="F32" s="143"/>
      <c r="G32"/>
      <c r="H32" s="123"/>
      <c r="I32" s="123"/>
    </row>
    <row r="33" spans="1:14" x14ac:dyDescent="0.25">
      <c r="A33" s="51"/>
      <c r="B33" s="71"/>
      <c r="C33" s="163"/>
      <c r="D33" s="495"/>
      <c r="E33" s="496"/>
      <c r="F33" s="143"/>
      <c r="G33"/>
      <c r="H33" s="123"/>
      <c r="I33" s="123"/>
    </row>
    <row r="34" spans="1:14" x14ac:dyDescent="0.25">
      <c r="A34" s="51"/>
      <c r="B34" s="71"/>
      <c r="C34" s="163"/>
      <c r="D34" s="495"/>
      <c r="E34" s="496"/>
      <c r="F34" s="143"/>
      <c r="G34"/>
      <c r="H34" s="123"/>
      <c r="I34" s="123"/>
    </row>
    <row r="35" spans="1:14" x14ac:dyDescent="0.25">
      <c r="A35" s="51"/>
      <c r="B35" s="71"/>
      <c r="C35" s="163"/>
      <c r="D35" s="495"/>
      <c r="E35" s="496"/>
      <c r="F35" s="143"/>
      <c r="G35"/>
      <c r="H35" s="123"/>
      <c r="I35" s="123"/>
    </row>
    <row r="36" spans="1:14" x14ac:dyDescent="0.25">
      <c r="A36" s="51"/>
      <c r="B36" s="93"/>
      <c r="C36" s="238"/>
      <c r="D36" s="243"/>
      <c r="E36" s="238"/>
      <c r="F36" s="123"/>
      <c r="G36"/>
      <c r="H36" s="123"/>
      <c r="I36" s="123"/>
    </row>
    <row r="37" spans="1:14" x14ac:dyDescent="0.25">
      <c r="A37" s="275" t="s">
        <v>120</v>
      </c>
      <c r="B37" s="51"/>
      <c r="C37" s="93"/>
      <c r="D37" s="238"/>
      <c r="E37" s="243"/>
      <c r="F37" s="238"/>
      <c r="G37"/>
      <c r="H37" s="4"/>
      <c r="I37"/>
      <c r="J37" s="134"/>
      <c r="L37" s="130"/>
      <c r="M37" s="131"/>
    </row>
    <row r="38" spans="1:14" x14ac:dyDescent="0.25">
      <c r="A38" s="244"/>
      <c r="B38"/>
      <c r="C38"/>
      <c r="D38" s="240"/>
      <c r="E38" s="240"/>
      <c r="F38" s="240"/>
      <c r="G38" s="240"/>
      <c r="H38" s="41"/>
      <c r="I38"/>
      <c r="J38" s="134"/>
      <c r="L38" s="130"/>
      <c r="M38" s="131"/>
    </row>
    <row r="39" spans="1:14" x14ac:dyDescent="0.25">
      <c r="B39"/>
      <c r="D39" s="387" t="s">
        <v>156</v>
      </c>
      <c r="E39" s="388"/>
      <c r="F39" s="388"/>
      <c r="G39" s="388"/>
      <c r="H39" s="389"/>
      <c r="J39" s="134"/>
      <c r="L39" s="130"/>
      <c r="M39" s="131"/>
    </row>
    <row r="40" spans="1:14" s="311" customFormat="1" ht="30" x14ac:dyDescent="0.25">
      <c r="B40" s="312" t="s">
        <v>139</v>
      </c>
      <c r="C40" s="312"/>
      <c r="D40" s="382" t="str">
        <f>B25</f>
        <v>Q6 Incremental PAC BAA LSEs Load</v>
      </c>
      <c r="E40" s="318" t="s">
        <v>128</v>
      </c>
      <c r="F40" s="318" t="s">
        <v>128</v>
      </c>
      <c r="G40" s="318" t="s">
        <v>128</v>
      </c>
      <c r="H40" s="318" t="s">
        <v>94</v>
      </c>
      <c r="I40" s="313"/>
      <c r="J40" s="314"/>
      <c r="K40" s="315"/>
      <c r="L40" s="316"/>
      <c r="M40" s="317"/>
      <c r="N40" s="315"/>
    </row>
    <row r="41" spans="1:14" x14ac:dyDescent="0.25">
      <c r="B41" s="165" t="s">
        <v>0</v>
      </c>
      <c r="C41" s="73" t="s">
        <v>88</v>
      </c>
      <c r="D41" s="117">
        <f>C25</f>
        <v>1800</v>
      </c>
      <c r="E41" s="117"/>
      <c r="F41" s="117"/>
      <c r="G41" s="117"/>
      <c r="H41" s="221">
        <f>SUM(D41:G41)</f>
        <v>1800</v>
      </c>
      <c r="J41" s="134"/>
      <c r="L41" s="130"/>
      <c r="M41" s="131"/>
    </row>
    <row r="42" spans="1:14" x14ac:dyDescent="0.25">
      <c r="B42" s="95"/>
      <c r="C42" s="73" t="s">
        <v>91</v>
      </c>
      <c r="D42" s="475">
        <f>D41/$H41</f>
        <v>1</v>
      </c>
      <c r="E42" s="159">
        <f>E41/$H41</f>
        <v>0</v>
      </c>
      <c r="F42" s="159">
        <f>F41/$H41</f>
        <v>0</v>
      </c>
      <c r="G42" s="159">
        <f>G41/$H41</f>
        <v>0</v>
      </c>
      <c r="H42" s="490">
        <f>SUM(D42:G42)</f>
        <v>1</v>
      </c>
      <c r="J42" s="134"/>
      <c r="L42" s="130"/>
      <c r="M42" s="131"/>
    </row>
    <row r="43" spans="1:14" x14ac:dyDescent="0.25">
      <c r="B43" s="95"/>
      <c r="C43" s="173" t="s">
        <v>65</v>
      </c>
      <c r="D43" s="116">
        <f>$H43*(D41/$H41)</f>
        <v>963621405.6478405</v>
      </c>
      <c r="E43" s="116">
        <f>$H43*(E41/$H41)</f>
        <v>0</v>
      </c>
      <c r="F43" s="116">
        <f>$H43*(F41/$H41)</f>
        <v>0</v>
      </c>
      <c r="G43" s="116">
        <f>$H43*(G41/$H41)</f>
        <v>0</v>
      </c>
      <c r="H43" s="221">
        <f>E25</f>
        <v>963621405.6478405</v>
      </c>
      <c r="J43" s="134"/>
      <c r="L43" s="130"/>
      <c r="M43" s="131"/>
    </row>
    <row r="44" spans="1:14" x14ac:dyDescent="0.25">
      <c r="B44" s="166" t="s">
        <v>67</v>
      </c>
      <c r="C44" s="73" t="s">
        <v>88</v>
      </c>
      <c r="D44" s="117">
        <f>(D41/$H41)*$H$44</f>
        <v>2187.5</v>
      </c>
      <c r="E44" s="117">
        <f>(E41/$H41)*$H$44</f>
        <v>0</v>
      </c>
      <c r="F44" s="117">
        <f>(F41/$H41)*$H$44</f>
        <v>0</v>
      </c>
      <c r="G44" s="117">
        <f>(G41/$H41)*$H$44</f>
        <v>0</v>
      </c>
      <c r="H44" s="221">
        <f>H41+B46</f>
        <v>2187.5</v>
      </c>
      <c r="J44" s="134"/>
      <c r="L44" s="130"/>
      <c r="M44" s="131"/>
    </row>
    <row r="45" spans="1:14" x14ac:dyDescent="0.25">
      <c r="B45" s="470"/>
      <c r="C45" s="73" t="s">
        <v>91</v>
      </c>
      <c r="D45" s="475">
        <f>D42</f>
        <v>1</v>
      </c>
      <c r="E45" s="471"/>
      <c r="F45" s="471"/>
      <c r="G45" s="471"/>
      <c r="H45" s="490">
        <f>SUM(D45:G45)</f>
        <v>1</v>
      </c>
      <c r="J45" s="134"/>
      <c r="L45" s="130"/>
      <c r="M45" s="131"/>
    </row>
    <row r="46" spans="1:14" x14ac:dyDescent="0.25">
      <c r="B46" s="306">
        <f>387.5</f>
        <v>387.5</v>
      </c>
      <c r="C46" s="173" t="s">
        <v>65</v>
      </c>
      <c r="D46" s="116">
        <f>$H46*(D44/$H44)</f>
        <v>963621405.6478405</v>
      </c>
      <c r="E46" s="116">
        <f>$H46*(E44/$H44)</f>
        <v>0</v>
      </c>
      <c r="F46" s="116">
        <f>$H46*(F44/$H44)</f>
        <v>0</v>
      </c>
      <c r="G46" s="116">
        <f>$H46*(G44/$H44)</f>
        <v>0</v>
      </c>
      <c r="H46" s="221">
        <f>H43</f>
        <v>963621405.6478405</v>
      </c>
      <c r="J46" s="134"/>
      <c r="L46" s="130"/>
      <c r="M46" s="131"/>
    </row>
    <row r="47" spans="1:14" x14ac:dyDescent="0.25">
      <c r="B47" s="166" t="s">
        <v>68</v>
      </c>
      <c r="C47" s="73" t="s">
        <v>88</v>
      </c>
      <c r="D47" s="117">
        <f>(D41/$H41)*$H$47</f>
        <v>1412.5</v>
      </c>
      <c r="E47" s="117">
        <f>(E41/$H41)*$H$47</f>
        <v>0</v>
      </c>
      <c r="F47" s="117">
        <f>(F41/$H41)*$H$47</f>
        <v>0</v>
      </c>
      <c r="G47" s="117">
        <f>(G41/$H41)*$H$47</f>
        <v>0</v>
      </c>
      <c r="H47" s="221">
        <f>H41+B49</f>
        <v>1412.5</v>
      </c>
      <c r="J47" s="134"/>
      <c r="L47" s="130"/>
      <c r="M47" s="131"/>
    </row>
    <row r="48" spans="1:14" x14ac:dyDescent="0.25">
      <c r="B48" s="470"/>
      <c r="C48" s="73" t="s">
        <v>91</v>
      </c>
      <c r="D48" s="476">
        <f>D45</f>
        <v>1</v>
      </c>
      <c r="E48" s="471"/>
      <c r="F48" s="471"/>
      <c r="G48" s="471"/>
      <c r="H48" s="490">
        <f>SUM(D48:G48)</f>
        <v>1</v>
      </c>
      <c r="J48" s="134"/>
      <c r="L48" s="130"/>
      <c r="M48" s="131"/>
    </row>
    <row r="49" spans="1:14" x14ac:dyDescent="0.25">
      <c r="B49" s="307">
        <f>-B46</f>
        <v>-387.5</v>
      </c>
      <c r="C49" s="173" t="s">
        <v>65</v>
      </c>
      <c r="D49" s="116">
        <f>$H49*(D47/$H47)</f>
        <v>963621405.6478405</v>
      </c>
      <c r="E49" s="116">
        <f>$H49*(E47/$H47)</f>
        <v>0</v>
      </c>
      <c r="F49" s="116">
        <f>$H49*(F47/$H47)</f>
        <v>0</v>
      </c>
      <c r="G49" s="116">
        <f>$H49*(G47/$H47)</f>
        <v>0</v>
      </c>
      <c r="H49" s="221">
        <f>H43</f>
        <v>963621405.6478405</v>
      </c>
      <c r="J49" s="134"/>
      <c r="L49" s="130"/>
      <c r="M49" s="131"/>
    </row>
    <row r="50" spans="1:14" x14ac:dyDescent="0.25">
      <c r="B50" s="168" t="s">
        <v>69</v>
      </c>
      <c r="C50" s="173" t="s">
        <v>65</v>
      </c>
      <c r="D50" s="117">
        <f>D43</f>
        <v>963621405.6478405</v>
      </c>
      <c r="E50" s="117">
        <f>E43</f>
        <v>0</v>
      </c>
      <c r="F50" s="117">
        <f>F43</f>
        <v>0</v>
      </c>
      <c r="G50" s="117">
        <f>G43</f>
        <v>0</v>
      </c>
      <c r="H50" s="221">
        <f>H43</f>
        <v>963621405.6478405</v>
      </c>
      <c r="J50" s="134"/>
      <c r="L50" s="130"/>
      <c r="M50" s="131"/>
    </row>
    <row r="51" spans="1:14" x14ac:dyDescent="0.25">
      <c r="B51" s="167" t="s">
        <v>70</v>
      </c>
      <c r="C51" s="173" t="s">
        <v>65</v>
      </c>
      <c r="D51" s="117">
        <f>D43</f>
        <v>963621405.6478405</v>
      </c>
      <c r="E51" s="117">
        <f>E43</f>
        <v>0</v>
      </c>
      <c r="F51" s="117">
        <f>F43</f>
        <v>0</v>
      </c>
      <c r="G51" s="117">
        <f>G43</f>
        <v>0</v>
      </c>
      <c r="H51" s="221">
        <f>H43</f>
        <v>963621405.6478405</v>
      </c>
      <c r="J51" s="134"/>
      <c r="L51" s="130"/>
      <c r="M51" s="131"/>
    </row>
    <row r="52" spans="1:14" x14ac:dyDescent="0.25">
      <c r="A52" s="109"/>
      <c r="B52" s="93"/>
      <c r="C52" s="29"/>
      <c r="D52" s="29"/>
      <c r="E52" s="29"/>
      <c r="F52" s="29"/>
      <c r="G52" s="5"/>
      <c r="H52"/>
      <c r="I52"/>
      <c r="J52" s="134"/>
      <c r="L52" s="130"/>
      <c r="M52" s="131"/>
    </row>
    <row r="53" spans="1:14" x14ac:dyDescent="0.25">
      <c r="A53" s="245"/>
      <c r="B53"/>
      <c r="C53" s="93"/>
      <c r="D53" s="387" t="str">
        <f>D39</f>
        <v xml:space="preserve"> Prorated Allocation Based on MW</v>
      </c>
      <c r="E53" s="388"/>
      <c r="F53" s="388"/>
      <c r="G53" s="388"/>
      <c r="H53" s="388"/>
      <c r="I53" s="389"/>
      <c r="J53" s="134"/>
      <c r="L53" s="130"/>
      <c r="M53" s="131"/>
    </row>
    <row r="54" spans="1:14" s="378" customFormat="1" ht="30" x14ac:dyDescent="0.25">
      <c r="B54" s="396"/>
      <c r="C54" s="422"/>
      <c r="D54" s="423" t="str">
        <f>B26</f>
        <v>Q6 WY Wind (New)</v>
      </c>
      <c r="E54" s="423" t="str">
        <f>B27</f>
        <v>Q6 Incremental WY Gen (Existing)</v>
      </c>
      <c r="F54" s="424" t="s">
        <v>128</v>
      </c>
      <c r="G54" s="424" t="s">
        <v>128</v>
      </c>
      <c r="H54" s="424" t="s">
        <v>128</v>
      </c>
      <c r="I54" s="424" t="s">
        <v>94</v>
      </c>
      <c r="K54" s="380"/>
      <c r="L54" s="380"/>
      <c r="M54" s="380"/>
      <c r="N54" s="380"/>
    </row>
    <row r="55" spans="1:14" x14ac:dyDescent="0.25">
      <c r="B55" s="165" t="s">
        <v>0</v>
      </c>
      <c r="C55" s="73" t="s">
        <v>88</v>
      </c>
      <c r="D55" s="117">
        <f>C26</f>
        <v>712</v>
      </c>
      <c r="E55" s="117">
        <f>C27</f>
        <v>1100</v>
      </c>
      <c r="F55" s="117">
        <v>0</v>
      </c>
      <c r="G55" s="117">
        <v>0</v>
      </c>
      <c r="H55" s="117">
        <v>0</v>
      </c>
      <c r="I55" s="221">
        <f>SUM(D55:H55)</f>
        <v>1812</v>
      </c>
    </row>
    <row r="56" spans="1:14" x14ac:dyDescent="0.25">
      <c r="B56" s="95"/>
      <c r="C56" s="73" t="s">
        <v>91</v>
      </c>
      <c r="D56" s="490">
        <f>D55/$I55</f>
        <v>0.39293598233995586</v>
      </c>
      <c r="E56" s="490">
        <f>E55/$I55</f>
        <v>0.60706401766004414</v>
      </c>
      <c r="F56" s="490">
        <f>F55/$I55</f>
        <v>0</v>
      </c>
      <c r="G56" s="490">
        <f>G55/$I55</f>
        <v>0</v>
      </c>
      <c r="H56" s="490">
        <f>H55/$I55</f>
        <v>0</v>
      </c>
      <c r="I56" s="287">
        <f>SUM(D56:H56)</f>
        <v>1</v>
      </c>
    </row>
    <row r="57" spans="1:14" x14ac:dyDescent="0.25">
      <c r="B57" s="229"/>
      <c r="C57" s="239" t="s">
        <v>65</v>
      </c>
      <c r="D57" s="221">
        <f>D56*$I57</f>
        <v>381165800.45625693</v>
      </c>
      <c r="E57" s="221">
        <f>E56*$I57</f>
        <v>588879747.89590251</v>
      </c>
      <c r="F57" s="221">
        <f>F56*$I57</f>
        <v>0</v>
      </c>
      <c r="G57" s="221">
        <f>G56*$I57</f>
        <v>0</v>
      </c>
      <c r="H57" s="221">
        <f>H56*$I57</f>
        <v>0</v>
      </c>
      <c r="I57" s="221">
        <f>E26+E27</f>
        <v>970045548.3521595</v>
      </c>
    </row>
    <row r="58" spans="1:14" x14ac:dyDescent="0.25">
      <c r="B58" s="230" t="str">
        <f>B44</f>
        <v>CAC Scenario A</v>
      </c>
      <c r="C58" s="239" t="s">
        <v>65</v>
      </c>
      <c r="D58" s="117">
        <f t="shared" ref="D58:I59" si="0">D57</f>
        <v>381165800.45625693</v>
      </c>
      <c r="E58" s="117">
        <f t="shared" si="0"/>
        <v>588879747.89590251</v>
      </c>
      <c r="F58" s="117">
        <f t="shared" si="0"/>
        <v>0</v>
      </c>
      <c r="G58" s="117">
        <f t="shared" si="0"/>
        <v>0</v>
      </c>
      <c r="H58" s="117">
        <f t="shared" si="0"/>
        <v>0</v>
      </c>
      <c r="I58" s="221">
        <f t="shared" si="0"/>
        <v>970045548.3521595</v>
      </c>
    </row>
    <row r="59" spans="1:14" x14ac:dyDescent="0.25">
      <c r="B59" s="165" t="str">
        <f>B47</f>
        <v>CAC Scenario B</v>
      </c>
      <c r="C59" s="239" t="s">
        <v>65</v>
      </c>
      <c r="D59" s="117">
        <f t="shared" si="0"/>
        <v>381165800.45625693</v>
      </c>
      <c r="E59" s="117">
        <f t="shared" si="0"/>
        <v>588879747.89590251</v>
      </c>
      <c r="F59" s="117">
        <f t="shared" si="0"/>
        <v>0</v>
      </c>
      <c r="G59" s="117">
        <f t="shared" si="0"/>
        <v>0</v>
      </c>
      <c r="H59" s="117">
        <f t="shared" si="0"/>
        <v>0</v>
      </c>
      <c r="I59" s="221">
        <f t="shared" si="0"/>
        <v>970045548.3521595</v>
      </c>
    </row>
    <row r="60" spans="1:14" x14ac:dyDescent="0.25">
      <c r="B60" s="166" t="str">
        <f>B50</f>
        <v>CAC Scenario C</v>
      </c>
      <c r="C60" s="73" t="s">
        <v>88</v>
      </c>
      <c r="D60" s="117">
        <f>D55+B61</f>
        <v>399</v>
      </c>
      <c r="E60" s="117">
        <f>E55</f>
        <v>1100</v>
      </c>
      <c r="F60" s="117"/>
      <c r="G60" s="117"/>
      <c r="H60" s="117"/>
      <c r="I60" s="221">
        <f>SUM(D60:H60)</f>
        <v>1499</v>
      </c>
    </row>
    <row r="61" spans="1:14" x14ac:dyDescent="0.25">
      <c r="B61" s="440">
        <v>-313</v>
      </c>
      <c r="C61" s="73" t="s">
        <v>91</v>
      </c>
      <c r="D61" s="436">
        <f>D60/$I60</f>
        <v>0.26617745163442297</v>
      </c>
      <c r="E61" s="436">
        <f>E60/$I60</f>
        <v>0.73382254836557703</v>
      </c>
      <c r="F61" s="117"/>
      <c r="G61" s="117"/>
      <c r="H61" s="117"/>
      <c r="I61" s="287">
        <f>SUM(D61:H61)</f>
        <v>1</v>
      </c>
    </row>
    <row r="62" spans="1:14" x14ac:dyDescent="0.25">
      <c r="B62" s="168"/>
      <c r="C62" s="437" t="s">
        <v>65</v>
      </c>
      <c r="D62" s="117">
        <f>$I62*D61</f>
        <v>258204252.02969423</v>
      </c>
      <c r="E62" s="117">
        <f>$I62*E61</f>
        <v>711841296.3224653</v>
      </c>
      <c r="F62" s="117">
        <f>F59</f>
        <v>0</v>
      </c>
      <c r="G62" s="117">
        <f>G59</f>
        <v>0</v>
      </c>
      <c r="H62" s="117">
        <f>H59</f>
        <v>0</v>
      </c>
      <c r="I62" s="221">
        <f>I59</f>
        <v>970045548.3521595</v>
      </c>
    </row>
    <row r="63" spans="1:14" x14ac:dyDescent="0.25">
      <c r="B63" s="438" t="str">
        <f>B51</f>
        <v>CAC Scenario D</v>
      </c>
      <c r="C63" s="73" t="s">
        <v>88</v>
      </c>
      <c r="D63" s="117">
        <f>D55+B64</f>
        <v>1197</v>
      </c>
      <c r="E63" s="117">
        <f>E55</f>
        <v>1100</v>
      </c>
      <c r="F63" s="117"/>
      <c r="G63" s="117"/>
      <c r="H63" s="117"/>
      <c r="I63" s="221">
        <f>SUM(D63:H63)</f>
        <v>2297</v>
      </c>
    </row>
    <row r="64" spans="1:14" x14ac:dyDescent="0.25">
      <c r="B64" s="440">
        <f>485</f>
        <v>485</v>
      </c>
      <c r="C64" s="73" t="s">
        <v>91</v>
      </c>
      <c r="D64" s="436">
        <f>D63/$I63</f>
        <v>0.52111449717022207</v>
      </c>
      <c r="E64" s="436">
        <f>E63/$I63</f>
        <v>0.47888550282977799</v>
      </c>
      <c r="F64" s="117"/>
      <c r="G64" s="117"/>
      <c r="H64" s="117"/>
      <c r="I64" s="287">
        <f>SUM(D64:H64)</f>
        <v>1</v>
      </c>
    </row>
    <row r="65" spans="1:19" x14ac:dyDescent="0.25">
      <c r="B65" s="439"/>
      <c r="C65" s="437" t="s">
        <v>65</v>
      </c>
      <c r="D65" s="117">
        <f>D64*$I65</f>
        <v>505504798.16174793</v>
      </c>
      <c r="E65" s="117">
        <f>E64*$I65</f>
        <v>464540750.19041163</v>
      </c>
      <c r="F65" s="117">
        <f>F62</f>
        <v>0</v>
      </c>
      <c r="G65" s="117">
        <f>G62</f>
        <v>0</v>
      </c>
      <c r="H65" s="117">
        <f>H62</f>
        <v>0</v>
      </c>
      <c r="I65" s="221">
        <f>I62</f>
        <v>970045548.3521595</v>
      </c>
    </row>
    <row r="67" spans="1:19" x14ac:dyDescent="0.25">
      <c r="I67" s="124">
        <f>H51+I65</f>
        <v>1933666954</v>
      </c>
    </row>
    <row r="68" spans="1:19" ht="15.75" x14ac:dyDescent="0.25">
      <c r="A68" s="172"/>
      <c r="B68" s="206"/>
      <c r="C68" s="420"/>
      <c r="D68" s="425"/>
      <c r="E68" s="163"/>
      <c r="F68" s="163"/>
      <c r="G68" s="163"/>
      <c r="H68" s="238"/>
      <c r="I68" s="39"/>
      <c r="J68" s="134"/>
      <c r="L68" s="130"/>
      <c r="M68" s="131"/>
    </row>
    <row r="69" spans="1:19" x14ac:dyDescent="0.25">
      <c r="A69" s="172"/>
      <c r="D69" s="163"/>
      <c r="E69" s="163"/>
      <c r="F69" s="163"/>
      <c r="G69" s="163"/>
      <c r="H69" s="238"/>
      <c r="I69" s="39"/>
      <c r="J69" s="134"/>
      <c r="L69" s="130"/>
      <c r="M69" s="131"/>
    </row>
    <row r="70" spans="1:19" x14ac:dyDescent="0.25">
      <c r="A70" s="5"/>
      <c r="B70" s="39"/>
      <c r="C70" s="39"/>
      <c r="D70" s="39"/>
      <c r="E70" s="39"/>
      <c r="F70" s="39"/>
      <c r="G70" s="39"/>
      <c r="H70" s="39"/>
      <c r="I70" s="39"/>
      <c r="J70" s="134"/>
      <c r="L70" s="130"/>
      <c r="M70" s="131"/>
    </row>
    <row r="71" spans="1:19" x14ac:dyDescent="0.25">
      <c r="A71" s="259"/>
      <c r="B71" s="260"/>
      <c r="C71" s="260"/>
      <c r="D71" s="260"/>
      <c r="E71" s="260"/>
      <c r="F71" s="260"/>
      <c r="G71" s="260"/>
      <c r="H71" s="260"/>
      <c r="I71" s="260"/>
      <c r="J71" s="260"/>
      <c r="K71" s="260"/>
      <c r="L71" s="260"/>
      <c r="M71" s="260"/>
      <c r="N71" s="260"/>
      <c r="O71" s="260"/>
      <c r="P71" s="260"/>
      <c r="Q71" s="260"/>
      <c r="R71" s="260"/>
      <c r="S71" s="260"/>
    </row>
    <row r="72" spans="1:19" x14ac:dyDescent="0.25">
      <c r="A72" s="176" t="s">
        <v>114</v>
      </c>
      <c r="B72" s="135"/>
      <c r="C72" s="136"/>
      <c r="D72" s="123"/>
      <c r="E72" s="123"/>
      <c r="F72" s="123"/>
      <c r="G72" s="123"/>
      <c r="H72" s="123"/>
      <c r="J72" s="118"/>
      <c r="L72" s="130"/>
      <c r="M72" s="131"/>
    </row>
    <row r="73" spans="1:19" x14ac:dyDescent="0.25">
      <c r="B73" s="135"/>
      <c r="C73" s="136"/>
      <c r="J73" s="118"/>
      <c r="L73" s="130"/>
      <c r="M73" s="131"/>
    </row>
    <row r="74" spans="1:19" x14ac:dyDescent="0.25">
      <c r="B74" s="124"/>
      <c r="D74" s="137"/>
      <c r="E74" s="137"/>
      <c r="F74" s="137"/>
      <c r="G74" s="137"/>
    </row>
    <row r="75" spans="1:19" s="311" customFormat="1" ht="30" x14ac:dyDescent="0.25">
      <c r="A75" s="311" t="s">
        <v>85</v>
      </c>
      <c r="B75" s="313"/>
      <c r="C75" s="319" t="s">
        <v>128</v>
      </c>
      <c r="D75" s="319" t="str">
        <f>Planning!D40</f>
        <v>Q6 Incremental PAC BAA LSEs Load</v>
      </c>
      <c r="E75" s="319" t="str">
        <f>Planning!E40</f>
        <v>NA</v>
      </c>
      <c r="F75" s="319" t="str">
        <f>Planning!F40</f>
        <v>NA</v>
      </c>
      <c r="G75" s="319" t="str">
        <f>Planning!G40</f>
        <v>NA</v>
      </c>
      <c r="H75" s="320" t="str">
        <f>Planning!D54</f>
        <v>Q6 WY Wind (New)</v>
      </c>
      <c r="I75" s="320" t="str">
        <f>Planning!E54</f>
        <v>Q6 Incremental WY Gen (Existing)</v>
      </c>
      <c r="J75" s="320" t="str">
        <f>Planning!F54</f>
        <v>NA</v>
      </c>
      <c r="K75" s="320" t="str">
        <f>Planning!G54</f>
        <v>NA</v>
      </c>
      <c r="L75" s="320" t="str">
        <f>Planning!H54</f>
        <v>NA</v>
      </c>
      <c r="M75" s="321" t="s">
        <v>102</v>
      </c>
    </row>
    <row r="76" spans="1:19" x14ac:dyDescent="0.25">
      <c r="B76" s="174" t="s">
        <v>0</v>
      </c>
      <c r="C76" s="241">
        <f>Planning!C68</f>
        <v>0</v>
      </c>
      <c r="D76" s="309">
        <f>Planning!D43</f>
        <v>963621405.6478405</v>
      </c>
      <c r="E76" s="309">
        <f>Planning!E43</f>
        <v>0</v>
      </c>
      <c r="F76" s="309">
        <f>Planning!F43</f>
        <v>0</v>
      </c>
      <c r="G76" s="309">
        <f>Planning!G43</f>
        <v>0</v>
      </c>
      <c r="H76" s="176">
        <f>Planning!D57</f>
        <v>381165800.45625693</v>
      </c>
      <c r="I76" s="184">
        <f>Planning!E57</f>
        <v>588879747.89590251</v>
      </c>
      <c r="J76" s="184">
        <f>Planning!F57</f>
        <v>0</v>
      </c>
      <c r="K76" s="184">
        <f>Planning!G57</f>
        <v>0</v>
      </c>
      <c r="L76" s="184">
        <f>Planning!H57</f>
        <v>0</v>
      </c>
      <c r="M76" s="124">
        <f>SUM(C76:L76)</f>
        <v>1933666954</v>
      </c>
      <c r="N76" s="123"/>
    </row>
    <row r="77" spans="1:19" x14ac:dyDescent="0.25">
      <c r="B77" s="174" t="s">
        <v>67</v>
      </c>
      <c r="C77" s="184">
        <f>C76</f>
        <v>0</v>
      </c>
      <c r="D77" s="309">
        <f>Planning!D46</f>
        <v>963621405.6478405</v>
      </c>
      <c r="E77" s="309">
        <f>Planning!E46</f>
        <v>0</v>
      </c>
      <c r="F77" s="309">
        <f>Planning!F46</f>
        <v>0</v>
      </c>
      <c r="G77" s="309">
        <f>Planning!G46</f>
        <v>0</v>
      </c>
      <c r="H77" s="176">
        <f>Planning!D58</f>
        <v>381165800.45625693</v>
      </c>
      <c r="I77" s="184">
        <f>Planning!E58</f>
        <v>588879747.89590251</v>
      </c>
      <c r="J77" s="184">
        <f>Planning!F58</f>
        <v>0</v>
      </c>
      <c r="K77" s="184">
        <f>Planning!G58</f>
        <v>0</v>
      </c>
      <c r="L77" s="184">
        <f>Planning!H58</f>
        <v>0</v>
      </c>
      <c r="M77" s="123">
        <f>SUM(C77:L77)</f>
        <v>1933666954</v>
      </c>
      <c r="N77" s="123"/>
    </row>
    <row r="78" spans="1:19" x14ac:dyDescent="0.25">
      <c r="B78" s="174" t="s">
        <v>68</v>
      </c>
      <c r="C78" s="184">
        <f>C77</f>
        <v>0</v>
      </c>
      <c r="D78" s="309">
        <f>Planning!D49</f>
        <v>963621405.6478405</v>
      </c>
      <c r="E78" s="309">
        <f>Planning!E49</f>
        <v>0</v>
      </c>
      <c r="F78" s="309">
        <f>Planning!F49</f>
        <v>0</v>
      </c>
      <c r="G78" s="309">
        <f>Planning!G49</f>
        <v>0</v>
      </c>
      <c r="H78" s="176">
        <f>Planning!D59</f>
        <v>381165800.45625693</v>
      </c>
      <c r="I78" s="184">
        <f>Planning!E59</f>
        <v>588879747.89590251</v>
      </c>
      <c r="J78" s="184">
        <f>Planning!F59</f>
        <v>0</v>
      </c>
      <c r="K78" s="184">
        <f>Planning!G59</f>
        <v>0</v>
      </c>
      <c r="L78" s="184">
        <f>Planning!H59</f>
        <v>0</v>
      </c>
      <c r="M78" s="123">
        <f>SUM(C78:L78)</f>
        <v>1933666954</v>
      </c>
      <c r="N78" s="123"/>
    </row>
    <row r="79" spans="1:19" x14ac:dyDescent="0.25">
      <c r="B79" s="174" t="s">
        <v>69</v>
      </c>
      <c r="C79" s="184">
        <f>C78</f>
        <v>0</v>
      </c>
      <c r="D79" s="309">
        <f>Planning!D50</f>
        <v>963621405.6478405</v>
      </c>
      <c r="E79" s="309">
        <f>Planning!E50</f>
        <v>0</v>
      </c>
      <c r="F79" s="309">
        <f>Planning!F50</f>
        <v>0</v>
      </c>
      <c r="G79" s="309">
        <f>Planning!G50</f>
        <v>0</v>
      </c>
      <c r="H79" s="176">
        <f>Planning!D62</f>
        <v>258204252.02969423</v>
      </c>
      <c r="I79" s="184">
        <f>Planning!E62</f>
        <v>711841296.3224653</v>
      </c>
      <c r="J79" s="184">
        <f>Planning!F62</f>
        <v>0</v>
      </c>
      <c r="K79" s="184">
        <f>Planning!G62</f>
        <v>0</v>
      </c>
      <c r="L79" s="184">
        <f>Planning!H62</f>
        <v>0</v>
      </c>
      <c r="M79" s="123">
        <f>SUM(C79:L79)</f>
        <v>1933666954</v>
      </c>
      <c r="N79" s="123"/>
    </row>
    <row r="80" spans="1:19" x14ac:dyDescent="0.25">
      <c r="B80" s="174" t="s">
        <v>70</v>
      </c>
      <c r="C80" s="184">
        <f>C79</f>
        <v>0</v>
      </c>
      <c r="D80" s="309">
        <f>Planning!D51</f>
        <v>963621405.6478405</v>
      </c>
      <c r="E80" s="309">
        <f>Planning!E51</f>
        <v>0</v>
      </c>
      <c r="F80" s="309">
        <f>Planning!F51</f>
        <v>0</v>
      </c>
      <c r="G80" s="309">
        <f>Planning!G51</f>
        <v>0</v>
      </c>
      <c r="H80" s="176">
        <f>Planning!D65</f>
        <v>505504798.16174793</v>
      </c>
      <c r="I80" s="184">
        <f>Planning!E65</f>
        <v>464540750.19041163</v>
      </c>
      <c r="J80" s="184">
        <f>Planning!F65</f>
        <v>0</v>
      </c>
      <c r="K80" s="184">
        <f>Planning!G65</f>
        <v>0</v>
      </c>
      <c r="L80" s="184">
        <f>Planning!H65</f>
        <v>0</v>
      </c>
      <c r="M80" s="123">
        <f>SUM(C80:L80)</f>
        <v>1933666954</v>
      </c>
      <c r="N80" s="123"/>
    </row>
    <row r="81" spans="1:20" x14ac:dyDescent="0.25">
      <c r="B81" s="78"/>
      <c r="C81" s="139"/>
      <c r="D81" s="158"/>
      <c r="E81" s="310"/>
      <c r="F81" s="310"/>
      <c r="G81" s="310"/>
      <c r="H81" s="126"/>
      <c r="I81" s="123"/>
      <c r="K81" s="123"/>
      <c r="L81" s="140"/>
      <c r="M81" s="123"/>
      <c r="N81" s="123"/>
    </row>
    <row r="82" spans="1:20" x14ac:dyDescent="0.25">
      <c r="B82" s="78"/>
      <c r="C82" s="271" t="s">
        <v>99</v>
      </c>
      <c r="D82" s="272" t="s">
        <v>109</v>
      </c>
      <c r="E82" s="273" t="s">
        <v>110</v>
      </c>
      <c r="F82" s="123"/>
      <c r="G82" s="126"/>
      <c r="H82" s="126"/>
      <c r="I82" s="123"/>
      <c r="K82" s="123"/>
      <c r="L82" s="140"/>
      <c r="M82" s="123"/>
      <c r="N82" s="123"/>
    </row>
    <row r="83" spans="1:20" x14ac:dyDescent="0.25">
      <c r="B83" s="78"/>
      <c r="C83" s="267">
        <v>0.14402265988792864</v>
      </c>
      <c r="D83" s="268">
        <v>40</v>
      </c>
      <c r="E83" s="269">
        <v>7.3135000000000006E-2</v>
      </c>
      <c r="F83" s="123"/>
      <c r="G83" s="126"/>
      <c r="H83" s="126"/>
      <c r="I83" s="123"/>
      <c r="K83" s="123"/>
      <c r="L83" s="140"/>
      <c r="M83" s="123"/>
      <c r="N83" s="123"/>
    </row>
    <row r="84" spans="1:20" x14ac:dyDescent="0.25">
      <c r="A84" s="142" t="s">
        <v>103</v>
      </c>
      <c r="B84" s="141"/>
      <c r="C84" s="390" t="s">
        <v>149</v>
      </c>
      <c r="D84" s="390"/>
      <c r="E84" s="390"/>
      <c r="F84" s="390"/>
      <c r="G84" s="390"/>
      <c r="H84" s="390"/>
      <c r="I84" s="390"/>
      <c r="J84" s="390"/>
      <c r="K84" s="390"/>
      <c r="L84" s="390"/>
      <c r="M84" s="390"/>
      <c r="N84" s="123"/>
    </row>
    <row r="85" spans="1:20" s="311" customFormat="1" ht="30" x14ac:dyDescent="0.25">
      <c r="A85" s="322"/>
      <c r="B85" s="323"/>
      <c r="C85" s="321" t="str">
        <f t="shared" ref="C85:M85" si="1">C75</f>
        <v>NA</v>
      </c>
      <c r="D85" s="321" t="str">
        <f t="shared" ref="D85:L85" si="2">D75</f>
        <v>Q6 Incremental PAC BAA LSEs Load</v>
      </c>
      <c r="E85" s="321" t="str">
        <f t="shared" si="2"/>
        <v>NA</v>
      </c>
      <c r="F85" s="321" t="str">
        <f t="shared" si="2"/>
        <v>NA</v>
      </c>
      <c r="G85" s="321" t="str">
        <f t="shared" si="2"/>
        <v>NA</v>
      </c>
      <c r="H85" s="321" t="str">
        <f t="shared" si="2"/>
        <v>Q6 WY Wind (New)</v>
      </c>
      <c r="I85" s="321" t="str">
        <f t="shared" si="2"/>
        <v>Q6 Incremental WY Gen (Existing)</v>
      </c>
      <c r="J85" s="321" t="str">
        <f t="shared" si="2"/>
        <v>NA</v>
      </c>
      <c r="K85" s="321" t="str">
        <f t="shared" si="2"/>
        <v>NA</v>
      </c>
      <c r="L85" s="321" t="str">
        <f t="shared" si="2"/>
        <v>NA</v>
      </c>
      <c r="M85" s="321" t="str">
        <f t="shared" si="1"/>
        <v>Total Benefit</v>
      </c>
    </row>
    <row r="86" spans="1:20" x14ac:dyDescent="0.25">
      <c r="A86" s="143"/>
      <c r="B86" s="206" t="str">
        <f>B76</f>
        <v>DFRTP</v>
      </c>
      <c r="C86" s="184">
        <f t="shared" ref="C86:L86" si="3">C76*$C$83</f>
        <v>0</v>
      </c>
      <c r="D86" s="184">
        <f t="shared" si="3"/>
        <v>138783317.96634665</v>
      </c>
      <c r="E86" s="184">
        <f t="shared" si="3"/>
        <v>0</v>
      </c>
      <c r="F86" s="184">
        <f t="shared" si="3"/>
        <v>0</v>
      </c>
      <c r="G86" s="184">
        <f t="shared" si="3"/>
        <v>0</v>
      </c>
      <c r="H86" s="184">
        <f t="shared" si="3"/>
        <v>54896512.440021567</v>
      </c>
      <c r="I86" s="184">
        <f t="shared" si="3"/>
        <v>84812027.64610073</v>
      </c>
      <c r="J86" s="184">
        <f t="shared" si="3"/>
        <v>0</v>
      </c>
      <c r="K86" s="184">
        <f t="shared" si="3"/>
        <v>0</v>
      </c>
      <c r="L86" s="184">
        <f t="shared" si="3"/>
        <v>0</v>
      </c>
      <c r="M86" s="184">
        <f>SUM(C86:L86)</f>
        <v>278491858.05246896</v>
      </c>
      <c r="N86" s="123"/>
    </row>
    <row r="87" spans="1:20" x14ac:dyDescent="0.25">
      <c r="A87" s="143"/>
      <c r="B87" s="206" t="str">
        <f>B77</f>
        <v>CAC Scenario A</v>
      </c>
      <c r="C87" s="184">
        <f t="shared" ref="C87:L87" si="4">C77*$C$83</f>
        <v>0</v>
      </c>
      <c r="D87" s="184">
        <f t="shared" si="4"/>
        <v>138783317.96634665</v>
      </c>
      <c r="E87" s="184">
        <f t="shared" si="4"/>
        <v>0</v>
      </c>
      <c r="F87" s="184">
        <f t="shared" si="4"/>
        <v>0</v>
      </c>
      <c r="G87" s="184">
        <f t="shared" si="4"/>
        <v>0</v>
      </c>
      <c r="H87" s="184">
        <f t="shared" si="4"/>
        <v>54896512.440021567</v>
      </c>
      <c r="I87" s="184">
        <f t="shared" si="4"/>
        <v>84812027.64610073</v>
      </c>
      <c r="J87" s="184">
        <f t="shared" si="4"/>
        <v>0</v>
      </c>
      <c r="K87" s="184">
        <f t="shared" si="4"/>
        <v>0</v>
      </c>
      <c r="L87" s="184">
        <f t="shared" si="4"/>
        <v>0</v>
      </c>
      <c r="M87" s="184">
        <f>SUM(C87:L87)</f>
        <v>278491858.05246896</v>
      </c>
      <c r="N87" s="123"/>
    </row>
    <row r="88" spans="1:20" x14ac:dyDescent="0.25">
      <c r="A88" s="143"/>
      <c r="B88" s="206" t="str">
        <f>B78</f>
        <v>CAC Scenario B</v>
      </c>
      <c r="C88" s="184">
        <f t="shared" ref="C88:L88" si="5">C78*$C$83</f>
        <v>0</v>
      </c>
      <c r="D88" s="184">
        <f t="shared" si="5"/>
        <v>138783317.96634665</v>
      </c>
      <c r="E88" s="184">
        <f t="shared" si="5"/>
        <v>0</v>
      </c>
      <c r="F88" s="184">
        <f t="shared" si="5"/>
        <v>0</v>
      </c>
      <c r="G88" s="184">
        <f t="shared" si="5"/>
        <v>0</v>
      </c>
      <c r="H88" s="184">
        <f t="shared" si="5"/>
        <v>54896512.440021567</v>
      </c>
      <c r="I88" s="184">
        <f t="shared" si="5"/>
        <v>84812027.64610073</v>
      </c>
      <c r="J88" s="184">
        <f t="shared" si="5"/>
        <v>0</v>
      </c>
      <c r="K88" s="184">
        <f t="shared" si="5"/>
        <v>0</v>
      </c>
      <c r="L88" s="184">
        <f t="shared" si="5"/>
        <v>0</v>
      </c>
      <c r="M88" s="184">
        <f>SUM(C88:L88)</f>
        <v>278491858.05246896</v>
      </c>
      <c r="N88" s="123"/>
    </row>
    <row r="89" spans="1:20" x14ac:dyDescent="0.25">
      <c r="A89" s="143"/>
      <c r="B89" s="206" t="str">
        <f>B79</f>
        <v>CAC Scenario C</v>
      </c>
      <c r="C89" s="184">
        <f t="shared" ref="C89:L89" si="6">C79*$C$83</f>
        <v>0</v>
      </c>
      <c r="D89" s="184">
        <f t="shared" si="6"/>
        <v>138783317.96634665</v>
      </c>
      <c r="E89" s="184">
        <f t="shared" si="6"/>
        <v>0</v>
      </c>
      <c r="F89" s="184">
        <f t="shared" si="6"/>
        <v>0</v>
      </c>
      <c r="G89" s="184">
        <f t="shared" si="6"/>
        <v>0</v>
      </c>
      <c r="H89" s="184">
        <f t="shared" si="6"/>
        <v>37187263.171689659</v>
      </c>
      <c r="I89" s="184">
        <f t="shared" si="6"/>
        <v>102521276.91443264</v>
      </c>
      <c r="J89" s="184">
        <f t="shared" si="6"/>
        <v>0</v>
      </c>
      <c r="K89" s="184">
        <f t="shared" si="6"/>
        <v>0</v>
      </c>
      <c r="L89" s="184">
        <f t="shared" si="6"/>
        <v>0</v>
      </c>
      <c r="M89" s="184">
        <f>SUM(C89:L89)</f>
        <v>278491858.05246896</v>
      </c>
      <c r="N89" s="123"/>
    </row>
    <row r="90" spans="1:20" x14ac:dyDescent="0.25">
      <c r="A90" s="143"/>
      <c r="B90" s="206" t="str">
        <f>B80</f>
        <v>CAC Scenario D</v>
      </c>
      <c r="C90" s="184">
        <f t="shared" ref="C90:L90" si="7">C80*$C$83</f>
        <v>0</v>
      </c>
      <c r="D90" s="184">
        <f t="shared" si="7"/>
        <v>138783317.96634665</v>
      </c>
      <c r="E90" s="184">
        <f t="shared" si="7"/>
        <v>0</v>
      </c>
      <c r="F90" s="184">
        <f t="shared" si="7"/>
        <v>0</v>
      </c>
      <c r="G90" s="184">
        <f t="shared" si="7"/>
        <v>0</v>
      </c>
      <c r="H90" s="184">
        <f t="shared" si="7"/>
        <v>72804145.617365435</v>
      </c>
      <c r="I90" s="184">
        <f t="shared" si="7"/>
        <v>66904394.468756877</v>
      </c>
      <c r="J90" s="184">
        <f t="shared" si="7"/>
        <v>0</v>
      </c>
      <c r="K90" s="184">
        <f t="shared" si="7"/>
        <v>0</v>
      </c>
      <c r="L90" s="184">
        <f t="shared" si="7"/>
        <v>0</v>
      </c>
      <c r="M90" s="184">
        <f>SUM(C90:L90)</f>
        <v>278491858.05246896</v>
      </c>
      <c r="N90" s="123"/>
    </row>
    <row r="91" spans="1:20" x14ac:dyDescent="0.25">
      <c r="A91" s="143"/>
      <c r="B91" s="144"/>
      <c r="C91" s="144"/>
      <c r="D91" s="123"/>
      <c r="E91" s="126"/>
      <c r="F91" s="126"/>
      <c r="G91" s="126"/>
      <c r="H91" s="126"/>
      <c r="I91" s="123"/>
      <c r="K91" s="123"/>
      <c r="L91" s="123"/>
      <c r="M91" s="123"/>
      <c r="N91" s="123"/>
    </row>
    <row r="92" spans="1:20" x14ac:dyDescent="0.25">
      <c r="A92" s="123" t="s">
        <v>24</v>
      </c>
      <c r="B92" s="145"/>
      <c r="C92" s="512" t="s">
        <v>101</v>
      </c>
      <c r="D92" s="513"/>
      <c r="E92" s="513"/>
      <c r="F92" s="513"/>
      <c r="G92" s="513"/>
      <c r="H92" s="513"/>
      <c r="I92" s="513"/>
      <c r="J92" s="513"/>
      <c r="K92" s="513"/>
      <c r="L92" s="514"/>
      <c r="M92" s="123"/>
      <c r="N92" s="123"/>
    </row>
    <row r="93" spans="1:20" s="311" customFormat="1" ht="30" x14ac:dyDescent="0.25">
      <c r="B93" s="324"/>
      <c r="C93" s="325" t="str">
        <f t="shared" ref="C93" si="8">C75</f>
        <v>NA</v>
      </c>
      <c r="D93" s="325" t="str">
        <f t="shared" ref="D93:L93" si="9">D75</f>
        <v>Q6 Incremental PAC BAA LSEs Load</v>
      </c>
      <c r="E93" s="325" t="str">
        <f t="shared" si="9"/>
        <v>NA</v>
      </c>
      <c r="F93" s="325" t="str">
        <f t="shared" si="9"/>
        <v>NA</v>
      </c>
      <c r="G93" s="325" t="str">
        <f t="shared" si="9"/>
        <v>NA</v>
      </c>
      <c r="H93" s="325" t="str">
        <f t="shared" si="9"/>
        <v>Q6 WY Wind (New)</v>
      </c>
      <c r="I93" s="325" t="str">
        <f t="shared" si="9"/>
        <v>Q6 Incremental WY Gen (Existing)</v>
      </c>
      <c r="J93" s="325" t="str">
        <f t="shared" si="9"/>
        <v>NA</v>
      </c>
      <c r="K93" s="325" t="str">
        <f t="shared" si="9"/>
        <v>NA</v>
      </c>
      <c r="L93" s="325" t="str">
        <f t="shared" si="9"/>
        <v>NA</v>
      </c>
    </row>
    <row r="94" spans="1:20" x14ac:dyDescent="0.25">
      <c r="C94" s="146"/>
      <c r="D94" s="175"/>
      <c r="E94" s="175"/>
      <c r="F94" s="175"/>
      <c r="G94" s="175"/>
      <c r="H94" s="157"/>
      <c r="I94" s="123"/>
      <c r="L94" s="147"/>
    </row>
    <row r="95" spans="1:20" x14ac:dyDescent="0.25">
      <c r="B95" s="249"/>
      <c r="C95" s="249"/>
      <c r="D95" s="249"/>
      <c r="E95" s="249"/>
      <c r="F95" s="249"/>
      <c r="G95" s="249"/>
      <c r="H95" s="249"/>
      <c r="I95" s="249"/>
      <c r="J95" s="249"/>
      <c r="K95" s="249"/>
      <c r="L95" s="249"/>
      <c r="M95" s="249"/>
      <c r="N95" s="249"/>
      <c r="O95" s="249"/>
      <c r="P95" s="249"/>
      <c r="Q95" s="249"/>
      <c r="R95" s="249"/>
      <c r="S95" s="249"/>
      <c r="T95" s="176"/>
    </row>
    <row r="96" spans="1:20" x14ac:dyDescent="0.25">
      <c r="A96" s="277" t="s">
        <v>117</v>
      </c>
      <c r="B96" s="249"/>
      <c r="C96" s="249"/>
      <c r="D96" s="139"/>
      <c r="E96" s="139"/>
      <c r="F96" s="139"/>
      <c r="G96" s="139"/>
      <c r="H96" s="139"/>
      <c r="I96" s="139"/>
      <c r="K96" s="147"/>
      <c r="L96" s="147"/>
    </row>
    <row r="97" spans="1:18" x14ac:dyDescent="0.25">
      <c r="D97" s="148"/>
      <c r="E97" s="148"/>
      <c r="F97" s="148"/>
      <c r="G97" s="148"/>
      <c r="H97" s="149"/>
      <c r="I97" s="78"/>
      <c r="K97" s="147"/>
      <c r="L97" s="147"/>
    </row>
    <row r="98" spans="1:18" x14ac:dyDescent="0.25">
      <c r="A98" s="123" t="s">
        <v>84</v>
      </c>
      <c r="B98" s="124" t="s">
        <v>14</v>
      </c>
      <c r="D98" s="137" t="s">
        <v>3</v>
      </c>
      <c r="E98" s="137" t="s">
        <v>2</v>
      </c>
      <c r="F98" s="137" t="s">
        <v>25</v>
      </c>
      <c r="G98" s="137" t="s">
        <v>1</v>
      </c>
      <c r="H98" s="137"/>
      <c r="I98" s="137"/>
      <c r="K98" s="147"/>
      <c r="L98" s="147"/>
    </row>
    <row r="99" spans="1:18" x14ac:dyDescent="0.25">
      <c r="A99" s="123" t="s">
        <v>85</v>
      </c>
      <c r="B99" s="109" t="s">
        <v>169</v>
      </c>
      <c r="C99" s="124" t="s">
        <v>4</v>
      </c>
      <c r="D99" s="90">
        <v>19291286</v>
      </c>
      <c r="E99" s="90">
        <v>8407154</v>
      </c>
      <c r="F99" s="90">
        <v>49518122</v>
      </c>
      <c r="G99" s="90">
        <v>10666167</v>
      </c>
      <c r="H99" s="75"/>
      <c r="I99" s="75"/>
      <c r="K99" s="147"/>
      <c r="L99" s="147"/>
    </row>
    <row r="100" spans="1:18" x14ac:dyDescent="0.25">
      <c r="B100" s="132" t="s">
        <v>170</v>
      </c>
      <c r="C100" s="124" t="s">
        <v>4</v>
      </c>
      <c r="D100" s="90">
        <v>26692790.07971679</v>
      </c>
      <c r="E100" s="90">
        <v>11414688.998907387</v>
      </c>
      <c r="F100" s="90">
        <v>58653228.694362879</v>
      </c>
      <c r="G100" s="90">
        <v>12247146.622558242</v>
      </c>
      <c r="H100" s="75"/>
      <c r="I100" s="75"/>
      <c r="K100" s="147"/>
      <c r="L100" s="147"/>
    </row>
    <row r="101" spans="1:18" x14ac:dyDescent="0.25">
      <c r="B101" s="132" t="s">
        <v>171</v>
      </c>
      <c r="C101" s="124" t="s">
        <v>4</v>
      </c>
      <c r="D101" s="90">
        <v>23264243.946170732</v>
      </c>
      <c r="E101" s="90">
        <v>10659773.496346906</v>
      </c>
      <c r="F101" s="90">
        <v>51690764.017979689</v>
      </c>
      <c r="G101" s="90">
        <v>11021099.300169384</v>
      </c>
      <c r="H101" s="75"/>
      <c r="I101" s="75"/>
      <c r="K101" s="147"/>
      <c r="L101" s="147"/>
    </row>
    <row r="102" spans="1:18" x14ac:dyDescent="0.25">
      <c r="B102" s="132" t="s">
        <v>172</v>
      </c>
      <c r="C102" s="124" t="s">
        <v>4</v>
      </c>
      <c r="D102" s="90">
        <v>22790481.207717095</v>
      </c>
      <c r="E102" s="90">
        <v>10268672.591617454</v>
      </c>
      <c r="F102" s="90">
        <v>51614546.815883972</v>
      </c>
      <c r="G102" s="90">
        <v>11154365.313472522</v>
      </c>
      <c r="H102" s="75"/>
      <c r="I102" s="75"/>
      <c r="K102" s="147"/>
      <c r="L102" s="147"/>
    </row>
    <row r="103" spans="1:18" x14ac:dyDescent="0.25">
      <c r="B103" s="208" t="s">
        <v>173</v>
      </c>
      <c r="C103" s="209" t="s">
        <v>4</v>
      </c>
      <c r="D103" s="210">
        <v>20459069.83690577</v>
      </c>
      <c r="E103" s="210">
        <v>10032192.974804297</v>
      </c>
      <c r="F103" s="210">
        <v>58872456.887777224</v>
      </c>
      <c r="G103" s="210">
        <v>9994950.9977352358</v>
      </c>
      <c r="H103" s="75"/>
      <c r="I103" s="75"/>
      <c r="K103" s="147"/>
      <c r="L103" s="147"/>
    </row>
    <row r="104" spans="1:18" x14ac:dyDescent="0.25">
      <c r="B104" s="132" t="s">
        <v>0</v>
      </c>
      <c r="C104" s="124" t="s">
        <v>4</v>
      </c>
      <c r="D104" s="90">
        <v>20068423</v>
      </c>
      <c r="E104" s="90">
        <v>8473853</v>
      </c>
      <c r="F104" s="90">
        <v>49769721</v>
      </c>
      <c r="G104" s="90">
        <v>10581321</v>
      </c>
      <c r="H104" s="75"/>
      <c r="I104" s="75"/>
      <c r="K104" s="147"/>
      <c r="L104" s="147"/>
    </row>
    <row r="105" spans="1:18" x14ac:dyDescent="0.25">
      <c r="B105" s="206" t="s">
        <v>77</v>
      </c>
      <c r="C105" s="124" t="s">
        <v>4</v>
      </c>
      <c r="D105" s="90">
        <v>27615381</v>
      </c>
      <c r="E105" s="90">
        <v>11678455</v>
      </c>
      <c r="F105" s="90">
        <v>59191533</v>
      </c>
      <c r="G105" s="90">
        <v>12167187</v>
      </c>
      <c r="H105" s="75"/>
      <c r="I105" s="75"/>
      <c r="K105" s="147"/>
      <c r="L105" s="147"/>
      <c r="Q105" s="140"/>
      <c r="R105" s="140"/>
    </row>
    <row r="106" spans="1:18" x14ac:dyDescent="0.25">
      <c r="B106" s="206" t="s">
        <v>78</v>
      </c>
      <c r="C106" s="124" t="s">
        <v>4</v>
      </c>
      <c r="D106" s="90">
        <v>23900083</v>
      </c>
      <c r="E106" s="90">
        <v>10878062</v>
      </c>
      <c r="F106" s="90">
        <v>52109803</v>
      </c>
      <c r="G106" s="90">
        <v>10941140</v>
      </c>
      <c r="H106" s="75"/>
      <c r="I106" s="75"/>
      <c r="K106" s="147"/>
      <c r="L106" s="147"/>
      <c r="Q106" s="140"/>
      <c r="R106" s="140"/>
    </row>
    <row r="107" spans="1:18" x14ac:dyDescent="0.25">
      <c r="B107" s="206" t="s">
        <v>79</v>
      </c>
      <c r="C107" s="124" t="s">
        <v>4</v>
      </c>
      <c r="D107" s="90">
        <v>23189439</v>
      </c>
      <c r="E107" s="90">
        <v>10432389</v>
      </c>
      <c r="F107" s="90">
        <v>51921942</v>
      </c>
      <c r="G107" s="90">
        <v>11101059</v>
      </c>
      <c r="H107" s="75"/>
      <c r="I107" s="75"/>
      <c r="K107" s="147"/>
      <c r="L107" s="147"/>
    </row>
    <row r="108" spans="1:18" x14ac:dyDescent="0.25">
      <c r="B108" s="206" t="s">
        <v>80</v>
      </c>
      <c r="C108" s="124" t="s">
        <v>4</v>
      </c>
      <c r="D108" s="421">
        <v>20521407</v>
      </c>
      <c r="E108" s="421">
        <v>10004907</v>
      </c>
      <c r="F108" s="421">
        <v>58964670</v>
      </c>
      <c r="G108" s="90">
        <v>9994951</v>
      </c>
      <c r="H108" s="75"/>
      <c r="I108" s="75"/>
      <c r="K108" s="147"/>
      <c r="L108" s="147"/>
    </row>
    <row r="109" spans="1:18" x14ac:dyDescent="0.25">
      <c r="B109" s="132"/>
      <c r="D109" s="148"/>
      <c r="E109" s="148"/>
      <c r="F109" s="148"/>
      <c r="G109" s="148"/>
      <c r="H109" s="78"/>
      <c r="I109" s="78"/>
      <c r="J109" s="139"/>
    </row>
    <row r="110" spans="1:18" x14ac:dyDescent="0.25">
      <c r="A110" s="123" t="s">
        <v>115</v>
      </c>
      <c r="B110" s="109"/>
      <c r="D110" s="137" t="str">
        <f t="shared" ref="D110:G110" si="10">D98</f>
        <v>IPC</v>
      </c>
      <c r="E110" s="137" t="str">
        <f t="shared" si="10"/>
        <v>NWE</v>
      </c>
      <c r="F110" s="137" t="str">
        <f t="shared" si="10"/>
        <v>PAC</v>
      </c>
      <c r="G110" s="137" t="str">
        <f t="shared" si="10"/>
        <v>PGE</v>
      </c>
      <c r="H110" s="137"/>
      <c r="I110" s="137"/>
      <c r="J110" s="139"/>
    </row>
    <row r="111" spans="1:18" x14ac:dyDescent="0.25">
      <c r="A111" s="143"/>
      <c r="B111" s="132" t="str">
        <f>B99&amp;" - "&amp;B104</f>
        <v>IRP Q5 Updated - DFRTP</v>
      </c>
      <c r="C111" s="110" t="s">
        <v>5</v>
      </c>
      <c r="D111" s="75">
        <f>(D$99-D104)</f>
        <v>-777137</v>
      </c>
      <c r="E111" s="75">
        <f t="shared" ref="E111:G111" si="11">(E$99-E104)</f>
        <v>-66699</v>
      </c>
      <c r="F111" s="75">
        <f t="shared" si="11"/>
        <v>-251599</v>
      </c>
      <c r="G111" s="75">
        <f t="shared" si="11"/>
        <v>84846</v>
      </c>
      <c r="H111" s="75"/>
      <c r="I111" s="75"/>
      <c r="J111" s="139"/>
    </row>
    <row r="112" spans="1:18" x14ac:dyDescent="0.25">
      <c r="A112" s="143"/>
      <c r="B112" s="207" t="str">
        <f>B100&amp;" - "&amp;B105</f>
        <v>IRP Q5 Updated Summer Scenario A - CAC Summer Scenario A</v>
      </c>
      <c r="C112" s="110" t="s">
        <v>5</v>
      </c>
      <c r="D112" s="75">
        <f>(D100-D105)</f>
        <v>-922590.92028320953</v>
      </c>
      <c r="E112" s="75">
        <f t="shared" ref="E112:G112" si="12">(E100-E105)</f>
        <v>-263766.00109261274</v>
      </c>
      <c r="F112" s="75">
        <f t="shared" si="12"/>
        <v>-538304.3056371212</v>
      </c>
      <c r="G112" s="75">
        <f t="shared" si="12"/>
        <v>79959.62255824171</v>
      </c>
      <c r="H112" s="75"/>
      <c r="I112" s="75"/>
      <c r="J112" s="139"/>
    </row>
    <row r="113" spans="1:18" x14ac:dyDescent="0.25">
      <c r="A113" s="143"/>
      <c r="B113" s="207" t="str">
        <f>B101&amp;" - "&amp;B106</f>
        <v>IRP Q5 Updated Summer Scenario B - CAC Summer Scenario B</v>
      </c>
      <c r="C113" s="110" t="s">
        <v>5</v>
      </c>
      <c r="D113" s="75">
        <f t="shared" ref="D113:G115" si="13">(D101-D106)</f>
        <v>-635839.05382926762</v>
      </c>
      <c r="E113" s="75">
        <f t="shared" si="13"/>
        <v>-218288.50365309417</v>
      </c>
      <c r="F113" s="75">
        <f t="shared" si="13"/>
        <v>-419038.98202031106</v>
      </c>
      <c r="G113" s="75">
        <f t="shared" si="13"/>
        <v>79959.300169384107</v>
      </c>
      <c r="H113" s="75"/>
      <c r="I113" s="75"/>
      <c r="J113" s="139"/>
    </row>
    <row r="114" spans="1:18" x14ac:dyDescent="0.25">
      <c r="A114" s="143"/>
      <c r="B114" s="207" t="str">
        <f>B102&amp;" - "&amp;B107</f>
        <v>IRP Q5 Updated Summer Scenario C - CAC Summer Scenario C</v>
      </c>
      <c r="C114" s="110" t="s">
        <v>5</v>
      </c>
      <c r="D114" s="75">
        <f t="shared" si="13"/>
        <v>-398957.79228290543</v>
      </c>
      <c r="E114" s="75">
        <f t="shared" si="13"/>
        <v>-163716.40838254616</v>
      </c>
      <c r="F114" s="75">
        <f t="shared" si="13"/>
        <v>-307395.18411602825</v>
      </c>
      <c r="G114" s="75">
        <f t="shared" si="13"/>
        <v>53306.313472522423</v>
      </c>
      <c r="H114" s="75"/>
      <c r="I114" s="75"/>
      <c r="J114" s="139"/>
    </row>
    <row r="115" spans="1:18" x14ac:dyDescent="0.25">
      <c r="A115" s="143"/>
      <c r="B115" s="207" t="str">
        <f>B103&amp;" - "&amp;B108</f>
        <v>IRP Q5 Updated Summer Scenario D - CAC Summer Scenario D</v>
      </c>
      <c r="C115" s="110" t="s">
        <v>5</v>
      </c>
      <c r="D115" s="75">
        <f t="shared" si="13"/>
        <v>-62337.163094229996</v>
      </c>
      <c r="E115" s="75">
        <f t="shared" si="13"/>
        <v>27285.97480429709</v>
      </c>
      <c r="F115" s="75">
        <f t="shared" si="13"/>
        <v>-92213.112222775817</v>
      </c>
      <c r="G115" s="75">
        <f t="shared" si="13"/>
        <v>-2.2647641599178314E-3</v>
      </c>
      <c r="H115" s="75"/>
      <c r="I115" s="75"/>
      <c r="J115" s="139"/>
    </row>
    <row r="116" spans="1:18" x14ac:dyDescent="0.25">
      <c r="B116" s="109"/>
      <c r="D116" s="78"/>
      <c r="E116" s="78"/>
      <c r="F116" s="78"/>
      <c r="G116" s="78"/>
      <c r="H116" s="78"/>
      <c r="I116" s="78"/>
      <c r="J116" s="139"/>
      <c r="K116" s="147"/>
      <c r="L116" s="147"/>
    </row>
    <row r="117" spans="1:18" x14ac:dyDescent="0.25">
      <c r="A117" s="123" t="s">
        <v>24</v>
      </c>
      <c r="B117" s="132"/>
      <c r="C117" s="144"/>
      <c r="D117" s="145" t="str">
        <f>D110</f>
        <v>IPC</v>
      </c>
      <c r="E117" s="145" t="str">
        <f>E110</f>
        <v>NWE</v>
      </c>
      <c r="F117" s="145" t="str">
        <f>F110</f>
        <v>PAC</v>
      </c>
      <c r="G117" s="145" t="str">
        <f>G110</f>
        <v>PGE</v>
      </c>
      <c r="H117" s="145"/>
      <c r="I117" s="78"/>
      <c r="J117" s="139"/>
      <c r="K117" s="147"/>
      <c r="L117" s="147"/>
    </row>
    <row r="118" spans="1:18" x14ac:dyDescent="0.25">
      <c r="C118" s="150" t="s">
        <v>73</v>
      </c>
      <c r="D118" s="151">
        <v>1</v>
      </c>
      <c r="E118" s="151">
        <v>1</v>
      </c>
      <c r="F118" s="151">
        <v>1</v>
      </c>
      <c r="G118" s="151">
        <v>1</v>
      </c>
      <c r="H118" s="152"/>
      <c r="I118" s="78"/>
      <c r="J118" s="139"/>
      <c r="K118" s="147"/>
      <c r="L118" s="147"/>
    </row>
    <row r="119" spans="1:18" x14ac:dyDescent="0.25">
      <c r="C119" s="146" t="s">
        <v>72</v>
      </c>
      <c r="D119" s="143"/>
      <c r="E119" s="143"/>
      <c r="F119" s="143"/>
      <c r="G119" s="143"/>
      <c r="H119" s="152"/>
      <c r="I119" s="78"/>
      <c r="J119" s="139"/>
      <c r="K119" s="147"/>
      <c r="L119" s="147"/>
    </row>
    <row r="120" spans="1:18" x14ac:dyDescent="0.25">
      <c r="C120" s="146"/>
      <c r="D120" s="143"/>
      <c r="E120" s="143"/>
      <c r="F120" s="143"/>
      <c r="G120" s="143"/>
      <c r="H120" s="152"/>
      <c r="I120" s="78"/>
      <c r="J120" s="139"/>
      <c r="K120" s="147"/>
      <c r="L120" s="147"/>
    </row>
    <row r="121" spans="1:18" x14ac:dyDescent="0.25">
      <c r="A121" s="277" t="s">
        <v>112</v>
      </c>
      <c r="B121" s="249"/>
      <c r="C121" s="249"/>
      <c r="D121" s="249"/>
      <c r="E121" s="249"/>
      <c r="F121" s="249"/>
      <c r="G121" s="249"/>
      <c r="H121" s="78"/>
      <c r="I121" s="78"/>
      <c r="J121" s="139"/>
      <c r="K121" s="147"/>
      <c r="L121" s="147"/>
    </row>
    <row r="122" spans="1:18" x14ac:dyDescent="0.25">
      <c r="A122" s="249"/>
      <c r="B122" s="249"/>
      <c r="C122" s="249"/>
      <c r="D122" s="249"/>
      <c r="E122" s="249"/>
      <c r="F122" s="249"/>
      <c r="G122" s="249"/>
      <c r="H122" s="249"/>
      <c r="I122" s="249"/>
      <c r="J122" s="139"/>
      <c r="K122" s="147"/>
      <c r="L122" s="147"/>
    </row>
    <row r="123" spans="1:18" x14ac:dyDescent="0.25">
      <c r="A123" s="123" t="s">
        <v>84</v>
      </c>
      <c r="B123" s="124" t="s">
        <v>14</v>
      </c>
      <c r="D123" s="138" t="str">
        <f>D98</f>
        <v>IPC</v>
      </c>
      <c r="E123" s="138" t="str">
        <f>E98</f>
        <v>NWE</v>
      </c>
      <c r="F123" s="138" t="str">
        <f>F98</f>
        <v>PAC</v>
      </c>
      <c r="G123" s="138" t="str">
        <f>G98</f>
        <v>PGE</v>
      </c>
      <c r="H123" s="138"/>
      <c r="I123" s="138"/>
      <c r="J123" s="139"/>
      <c r="K123" s="147"/>
      <c r="L123" s="147"/>
    </row>
    <row r="124" spans="1:18" x14ac:dyDescent="0.25">
      <c r="A124" s="123" t="s">
        <v>85</v>
      </c>
      <c r="B124" s="109" t="s">
        <v>169</v>
      </c>
      <c r="C124" s="124" t="s">
        <v>4</v>
      </c>
      <c r="D124" s="90">
        <v>0</v>
      </c>
      <c r="E124" s="90">
        <v>0</v>
      </c>
      <c r="F124" s="90">
        <v>0</v>
      </c>
      <c r="G124" s="90">
        <v>0</v>
      </c>
      <c r="H124" s="78"/>
      <c r="I124" s="78"/>
      <c r="J124" s="139"/>
      <c r="K124" s="147"/>
      <c r="L124" s="147"/>
    </row>
    <row r="125" spans="1:18" x14ac:dyDescent="0.25">
      <c r="B125" s="109" t="s">
        <v>0</v>
      </c>
      <c r="C125" s="124" t="s">
        <v>4</v>
      </c>
      <c r="D125" s="90">
        <v>0</v>
      </c>
      <c r="E125" s="90">
        <v>0</v>
      </c>
      <c r="F125" s="90">
        <v>0</v>
      </c>
      <c r="G125" s="90">
        <v>0</v>
      </c>
      <c r="H125" s="78"/>
      <c r="I125" s="78"/>
      <c r="J125" s="139"/>
      <c r="K125" s="147"/>
      <c r="L125" s="147"/>
      <c r="M125" s="153"/>
      <c r="N125" s="153"/>
      <c r="O125" s="124"/>
      <c r="P125" s="124"/>
      <c r="Q125" s="124"/>
      <c r="R125" s="124"/>
    </row>
    <row r="126" spans="1:18" x14ac:dyDescent="0.25">
      <c r="B126" s="109" t="s">
        <v>77</v>
      </c>
      <c r="C126" s="124" t="s">
        <v>4</v>
      </c>
      <c r="D126" s="90">
        <v>0</v>
      </c>
      <c r="E126" s="90">
        <v>0</v>
      </c>
      <c r="F126" s="90">
        <v>0</v>
      </c>
      <c r="G126" s="90">
        <v>0</v>
      </c>
      <c r="H126" s="78"/>
      <c r="I126" s="78"/>
      <c r="J126" s="139"/>
      <c r="K126" s="147"/>
      <c r="L126" s="147"/>
      <c r="M126" s="154"/>
      <c r="N126" s="154"/>
      <c r="O126" s="140"/>
      <c r="P126" s="140"/>
      <c r="Q126" s="140"/>
      <c r="R126" s="140"/>
    </row>
    <row r="127" spans="1:18" x14ac:dyDescent="0.25">
      <c r="B127" s="109" t="s">
        <v>78</v>
      </c>
      <c r="C127" s="124" t="s">
        <v>4</v>
      </c>
      <c r="D127" s="90">
        <v>0</v>
      </c>
      <c r="E127" s="90">
        <v>0</v>
      </c>
      <c r="F127" s="90">
        <v>0</v>
      </c>
      <c r="G127" s="90">
        <v>0</v>
      </c>
      <c r="H127" s="78"/>
      <c r="I127" s="78"/>
      <c r="J127" s="139"/>
      <c r="L127" s="147"/>
      <c r="M127" s="154"/>
      <c r="N127" s="154"/>
      <c r="O127" s="140"/>
      <c r="P127" s="140"/>
      <c r="Q127" s="140"/>
      <c r="R127" s="140"/>
    </row>
    <row r="128" spans="1:18" x14ac:dyDescent="0.25">
      <c r="B128" s="109" t="s">
        <v>79</v>
      </c>
      <c r="C128" s="124" t="s">
        <v>4</v>
      </c>
      <c r="D128" s="90">
        <v>0</v>
      </c>
      <c r="E128" s="90">
        <v>0</v>
      </c>
      <c r="F128" s="90">
        <v>0</v>
      </c>
      <c r="G128" s="90">
        <v>0</v>
      </c>
      <c r="H128" s="78"/>
      <c r="I128" s="78"/>
      <c r="J128" s="139"/>
      <c r="K128" s="155"/>
      <c r="L128" s="147"/>
      <c r="M128" s="154"/>
      <c r="N128" s="154"/>
      <c r="O128" s="140"/>
      <c r="P128" s="140"/>
      <c r="Q128" s="140"/>
      <c r="R128" s="140"/>
    </row>
    <row r="129" spans="1:19" x14ac:dyDescent="0.25">
      <c r="B129" s="109" t="s">
        <v>80</v>
      </c>
      <c r="C129" s="124" t="s">
        <v>4</v>
      </c>
      <c r="D129" s="90">
        <v>0</v>
      </c>
      <c r="E129" s="90">
        <v>0</v>
      </c>
      <c r="F129" s="90">
        <v>0</v>
      </c>
      <c r="G129" s="90">
        <v>0</v>
      </c>
      <c r="H129" s="78"/>
      <c r="I129" s="78"/>
      <c r="J129" s="139"/>
      <c r="L129" s="147"/>
      <c r="M129" s="154"/>
      <c r="N129" s="154"/>
      <c r="O129" s="140"/>
      <c r="P129" s="140"/>
      <c r="Q129" s="140"/>
      <c r="R129" s="140"/>
    </row>
    <row r="130" spans="1:19" x14ac:dyDescent="0.25">
      <c r="B130" s="109"/>
      <c r="D130" s="78"/>
      <c r="E130" s="78"/>
      <c r="F130" s="78"/>
      <c r="G130" s="78"/>
      <c r="H130" s="78"/>
      <c r="I130" s="78"/>
      <c r="J130" s="139"/>
      <c r="L130" s="147"/>
      <c r="M130" s="154"/>
      <c r="N130" s="154"/>
      <c r="O130" s="140"/>
      <c r="P130" s="140"/>
      <c r="Q130" s="140"/>
      <c r="R130" s="140"/>
    </row>
    <row r="131" spans="1:19" x14ac:dyDescent="0.25">
      <c r="A131" s="123" t="s">
        <v>116</v>
      </c>
      <c r="B131" s="109"/>
      <c r="D131" s="156" t="str">
        <f t="shared" ref="D131:G131" si="14">D123</f>
        <v>IPC</v>
      </c>
      <c r="E131" s="156" t="str">
        <f t="shared" si="14"/>
        <v>NWE</v>
      </c>
      <c r="F131" s="156" t="str">
        <f t="shared" si="14"/>
        <v>PAC</v>
      </c>
      <c r="G131" s="156" t="str">
        <f t="shared" si="14"/>
        <v>PGE</v>
      </c>
      <c r="H131" s="156"/>
      <c r="I131" s="156"/>
      <c r="J131" s="139"/>
      <c r="L131" s="147"/>
      <c r="M131" s="154"/>
      <c r="N131" s="154"/>
      <c r="O131" s="140"/>
      <c r="P131" s="140"/>
      <c r="Q131" s="140"/>
      <c r="R131" s="140"/>
    </row>
    <row r="132" spans="1:19" x14ac:dyDescent="0.25">
      <c r="A132" s="143"/>
      <c r="B132" s="132" t="s">
        <v>174</v>
      </c>
      <c r="C132" s="110" t="s">
        <v>5</v>
      </c>
      <c r="D132" s="92">
        <f t="shared" ref="D132:G136" si="15">DR124-D125</f>
        <v>0</v>
      </c>
      <c r="E132" s="92">
        <f t="shared" si="15"/>
        <v>0</v>
      </c>
      <c r="F132" s="92">
        <f t="shared" si="15"/>
        <v>0</v>
      </c>
      <c r="G132" s="92">
        <f t="shared" si="15"/>
        <v>0</v>
      </c>
      <c r="H132" s="75"/>
      <c r="I132" s="75"/>
      <c r="J132" s="139"/>
      <c r="L132" s="147"/>
      <c r="M132" s="154"/>
      <c r="N132" s="154"/>
      <c r="O132" s="140"/>
      <c r="P132" s="140"/>
      <c r="Q132" s="140"/>
    </row>
    <row r="133" spans="1:19" x14ac:dyDescent="0.25">
      <c r="A133" s="143"/>
      <c r="B133" s="132" t="s">
        <v>175</v>
      </c>
      <c r="C133" s="110" t="s">
        <v>5</v>
      </c>
      <c r="D133" s="92">
        <f t="shared" si="15"/>
        <v>0</v>
      </c>
      <c r="E133" s="92">
        <f t="shared" si="15"/>
        <v>0</v>
      </c>
      <c r="F133" s="92">
        <f t="shared" si="15"/>
        <v>0</v>
      </c>
      <c r="G133" s="92">
        <f t="shared" si="15"/>
        <v>0</v>
      </c>
      <c r="H133" s="75"/>
      <c r="I133" s="75"/>
      <c r="J133" s="139"/>
      <c r="L133" s="147"/>
      <c r="M133" s="154"/>
      <c r="N133" s="154"/>
      <c r="O133" s="140"/>
      <c r="P133" s="140"/>
      <c r="Q133" s="140"/>
    </row>
    <row r="134" spans="1:19" x14ac:dyDescent="0.25">
      <c r="A134" s="143"/>
      <c r="B134" s="132" t="s">
        <v>176</v>
      </c>
      <c r="C134" s="110" t="s">
        <v>5</v>
      </c>
      <c r="D134" s="92">
        <f t="shared" si="15"/>
        <v>0</v>
      </c>
      <c r="E134" s="92">
        <f t="shared" si="15"/>
        <v>0</v>
      </c>
      <c r="F134" s="92">
        <f t="shared" si="15"/>
        <v>0</v>
      </c>
      <c r="G134" s="92">
        <f t="shared" si="15"/>
        <v>0</v>
      </c>
      <c r="H134" s="75"/>
      <c r="I134" s="75"/>
      <c r="J134" s="139"/>
      <c r="L134" s="147"/>
      <c r="M134" s="154"/>
      <c r="N134" s="154"/>
      <c r="O134" s="140"/>
      <c r="P134" s="140"/>
      <c r="Q134" s="140"/>
    </row>
    <row r="135" spans="1:19" x14ac:dyDescent="0.25">
      <c r="A135" s="143"/>
      <c r="B135" s="132" t="s">
        <v>177</v>
      </c>
      <c r="C135" s="110" t="s">
        <v>5</v>
      </c>
      <c r="D135" s="92">
        <f t="shared" si="15"/>
        <v>0</v>
      </c>
      <c r="E135" s="92">
        <f t="shared" si="15"/>
        <v>0</v>
      </c>
      <c r="F135" s="92">
        <f t="shared" si="15"/>
        <v>0</v>
      </c>
      <c r="G135" s="92">
        <f t="shared" si="15"/>
        <v>0</v>
      </c>
      <c r="H135" s="75"/>
      <c r="I135" s="75"/>
      <c r="J135" s="139"/>
      <c r="L135" s="147"/>
      <c r="M135" s="154"/>
      <c r="N135" s="154"/>
      <c r="O135" s="140"/>
      <c r="P135" s="140"/>
      <c r="Q135" s="140"/>
    </row>
    <row r="136" spans="1:19" x14ac:dyDescent="0.25">
      <c r="A136" s="143"/>
      <c r="B136" s="132" t="s">
        <v>178</v>
      </c>
      <c r="C136" s="110" t="s">
        <v>5</v>
      </c>
      <c r="D136" s="92">
        <f t="shared" si="15"/>
        <v>0</v>
      </c>
      <c r="E136" s="92">
        <f t="shared" si="15"/>
        <v>0</v>
      </c>
      <c r="F136" s="92">
        <f t="shared" si="15"/>
        <v>0</v>
      </c>
      <c r="G136" s="92">
        <f t="shared" si="15"/>
        <v>0</v>
      </c>
      <c r="H136" s="75"/>
      <c r="I136" s="75"/>
      <c r="J136" s="139"/>
      <c r="L136" s="147"/>
      <c r="M136" s="154"/>
      <c r="N136" s="154"/>
      <c r="O136" s="140"/>
      <c r="P136" s="140"/>
      <c r="Q136" s="140"/>
    </row>
    <row r="137" spans="1:19" x14ac:dyDescent="0.25">
      <c r="D137" s="78"/>
      <c r="E137" s="78"/>
      <c r="F137" s="78"/>
      <c r="G137" s="78"/>
      <c r="H137" s="78"/>
      <c r="I137" s="78"/>
      <c r="J137" s="139"/>
      <c r="L137" s="147"/>
      <c r="M137" s="154"/>
      <c r="N137" s="154"/>
      <c r="O137" s="140"/>
      <c r="P137" s="140"/>
      <c r="Q137" s="140"/>
    </row>
    <row r="138" spans="1:19" x14ac:dyDescent="0.25">
      <c r="A138" s="123" t="s">
        <v>24</v>
      </c>
      <c r="B138" s="132"/>
      <c r="C138" s="144"/>
      <c r="D138" s="145" t="str">
        <f>D131</f>
        <v>IPC</v>
      </c>
      <c r="E138" s="145" t="str">
        <f>E131</f>
        <v>NWE</v>
      </c>
      <c r="F138" s="145" t="str">
        <f>F131</f>
        <v>PAC</v>
      </c>
      <c r="G138" s="145" t="str">
        <f>G131</f>
        <v>PGE</v>
      </c>
      <c r="H138" s="145"/>
      <c r="I138" s="78"/>
      <c r="J138" s="139"/>
      <c r="K138" s="147"/>
      <c r="L138" s="147"/>
    </row>
    <row r="139" spans="1:19" x14ac:dyDescent="0.25">
      <c r="C139" s="146" t="str">
        <f>C118</f>
        <v>Transmission Service Provider</v>
      </c>
      <c r="D139" s="151">
        <v>0</v>
      </c>
      <c r="E139" s="151">
        <v>0</v>
      </c>
      <c r="F139" s="151">
        <v>0</v>
      </c>
      <c r="G139" s="151">
        <v>0</v>
      </c>
      <c r="H139" s="157"/>
      <c r="I139" s="78"/>
      <c r="J139" s="139"/>
      <c r="K139" s="147"/>
      <c r="L139" s="147"/>
    </row>
    <row r="140" spans="1:19" x14ac:dyDescent="0.25">
      <c r="C140" s="146" t="s">
        <v>66</v>
      </c>
      <c r="D140" s="143"/>
      <c r="E140" s="143"/>
      <c r="F140" s="143"/>
      <c r="G140" s="143"/>
      <c r="H140" s="152"/>
      <c r="I140" s="78"/>
      <c r="J140" s="139"/>
      <c r="K140" s="147"/>
      <c r="L140" s="147"/>
    </row>
    <row r="141" spans="1:19" x14ac:dyDescent="0.25">
      <c r="D141" s="78"/>
      <c r="E141" s="78"/>
      <c r="F141" s="78"/>
      <c r="G141" s="78"/>
      <c r="H141" s="78"/>
      <c r="I141" s="78"/>
      <c r="J141" s="139"/>
      <c r="K141" s="147"/>
      <c r="L141" s="147"/>
    </row>
    <row r="142" spans="1:19" x14ac:dyDescent="0.25">
      <c r="A142" s="258" t="s">
        <v>134</v>
      </c>
      <c r="B142" s="257"/>
      <c r="C142" s="257"/>
      <c r="D142" s="257"/>
      <c r="E142" s="257"/>
      <c r="F142" s="257"/>
      <c r="G142" s="257"/>
      <c r="H142" s="257"/>
      <c r="I142" s="257"/>
      <c r="J142" s="257"/>
      <c r="K142" s="257"/>
      <c r="L142" s="257"/>
      <c r="M142" s="257"/>
      <c r="N142" s="257"/>
      <c r="O142" s="257"/>
      <c r="P142" s="257"/>
      <c r="Q142" s="257"/>
      <c r="R142" s="257"/>
      <c r="S142" s="257"/>
    </row>
    <row r="143" spans="1:19" x14ac:dyDescent="0.25">
      <c r="A143" s="259"/>
      <c r="B143" s="260"/>
      <c r="C143" s="260"/>
      <c r="D143" s="261"/>
      <c r="E143" s="261"/>
      <c r="F143" s="261"/>
      <c r="G143" s="261"/>
      <c r="H143" s="261"/>
      <c r="I143" s="261"/>
      <c r="J143" s="261"/>
      <c r="K143" s="261"/>
      <c r="L143" s="261"/>
      <c r="M143" s="261"/>
      <c r="N143" s="261"/>
      <c r="O143" s="261"/>
      <c r="P143" s="261"/>
      <c r="Q143" s="261"/>
      <c r="R143" s="261"/>
      <c r="S143" s="260"/>
    </row>
    <row r="144" spans="1:19" x14ac:dyDescent="0.25">
      <c r="A144" s="248" t="s">
        <v>113</v>
      </c>
      <c r="B144" s="175"/>
      <c r="C144" s="144"/>
      <c r="D144" s="515" t="s">
        <v>86</v>
      </c>
      <c r="E144" s="516"/>
      <c r="F144" s="516"/>
      <c r="G144" s="516"/>
      <c r="H144" s="516"/>
      <c r="I144" s="516"/>
      <c r="J144" s="516"/>
      <c r="K144" s="516"/>
      <c r="L144" s="516"/>
      <c r="M144" s="516"/>
      <c r="N144" s="516"/>
      <c r="O144" s="516"/>
      <c r="P144" s="516"/>
      <c r="Q144" s="516"/>
      <c r="R144" s="516"/>
      <c r="S144" s="520"/>
    </row>
    <row r="145" spans="1:19" x14ac:dyDescent="0.25">
      <c r="A145" s="250" t="s">
        <v>85</v>
      </c>
      <c r="B145" s="175"/>
      <c r="C145" s="144"/>
      <c r="D145" s="414" t="s">
        <v>122</v>
      </c>
      <c r="E145" s="415"/>
      <c r="F145" s="415"/>
      <c r="G145" s="416"/>
      <c r="H145" s="512" t="s">
        <v>100</v>
      </c>
      <c r="I145" s="513"/>
      <c r="J145" s="513"/>
      <c r="K145" s="513"/>
      <c r="L145" s="513"/>
      <c r="M145" s="513"/>
      <c r="N145" s="513"/>
      <c r="O145" s="513"/>
      <c r="P145" s="513"/>
      <c r="Q145" s="513"/>
      <c r="R145" s="513"/>
      <c r="S145" s="513"/>
    </row>
    <row r="146" spans="1:19" s="313" customFormat="1" ht="60" x14ac:dyDescent="0.25">
      <c r="A146" s="327"/>
      <c r="B146" s="328"/>
      <c r="C146" s="325" t="s">
        <v>24</v>
      </c>
      <c r="D146" s="325" t="str">
        <f>D123&amp;" TSP"</f>
        <v>IPC TSP</v>
      </c>
      <c r="E146" s="325" t="str">
        <f t="shared" ref="E146:G146" si="16">E123&amp;" TSP"</f>
        <v>NWE TSP</v>
      </c>
      <c r="F146" s="325" t="str">
        <f t="shared" si="16"/>
        <v>PAC TSP</v>
      </c>
      <c r="G146" s="325" t="str">
        <f t="shared" si="16"/>
        <v>PGE TSP</v>
      </c>
      <c r="H146" s="325" t="s">
        <v>24</v>
      </c>
      <c r="I146" s="326" t="str">
        <f t="shared" ref="I146:S146" si="17">C85</f>
        <v>NA</v>
      </c>
      <c r="J146" s="326" t="str">
        <f t="shared" ref="J146:R146" si="18">D85</f>
        <v>Q6 Incremental PAC BAA LSEs Load</v>
      </c>
      <c r="K146" s="326" t="str">
        <f t="shared" si="18"/>
        <v>NA</v>
      </c>
      <c r="L146" s="326" t="str">
        <f t="shared" si="18"/>
        <v>NA</v>
      </c>
      <c r="M146" s="326" t="str">
        <f t="shared" si="18"/>
        <v>NA</v>
      </c>
      <c r="N146" s="326" t="str">
        <f t="shared" si="18"/>
        <v>Q6 WY Wind (New)</v>
      </c>
      <c r="O146" s="326" t="str">
        <f t="shared" si="18"/>
        <v>Q6 Incremental WY Gen (Existing)</v>
      </c>
      <c r="P146" s="326" t="str">
        <f t="shared" si="18"/>
        <v>NA</v>
      </c>
      <c r="Q146" s="326" t="str">
        <f t="shared" si="18"/>
        <v>NA</v>
      </c>
      <c r="R146" s="326" t="str">
        <f t="shared" si="18"/>
        <v>NA</v>
      </c>
      <c r="S146" s="326" t="str">
        <f t="shared" si="17"/>
        <v>Total Benefit</v>
      </c>
    </row>
    <row r="147" spans="1:19" x14ac:dyDescent="0.25">
      <c r="A147" s="250"/>
      <c r="B147" s="175"/>
      <c r="C147" s="251" t="str">
        <f>B86</f>
        <v>DFRTP</v>
      </c>
      <c r="D147" s="242">
        <f t="shared" ref="D147:G151" si="19">D111+D132</f>
        <v>-777137</v>
      </c>
      <c r="E147" s="242">
        <f t="shared" si="19"/>
        <v>-66699</v>
      </c>
      <c r="F147" s="242">
        <f t="shared" si="19"/>
        <v>-251599</v>
      </c>
      <c r="G147" s="242">
        <f t="shared" si="19"/>
        <v>84846</v>
      </c>
      <c r="H147" s="253" t="str">
        <f>B86</f>
        <v>DFRTP</v>
      </c>
      <c r="I147" s="252">
        <f t="shared" ref="I147:R151" si="20">C86+I111+I132</f>
        <v>0</v>
      </c>
      <c r="J147" s="252">
        <f t="shared" si="20"/>
        <v>138783317.96634665</v>
      </c>
      <c r="K147" s="252">
        <f t="shared" si="20"/>
        <v>0</v>
      </c>
      <c r="L147" s="252">
        <f t="shared" si="20"/>
        <v>0</v>
      </c>
      <c r="M147" s="252">
        <f t="shared" si="20"/>
        <v>0</v>
      </c>
      <c r="N147" s="252">
        <f t="shared" si="20"/>
        <v>54896512.440021567</v>
      </c>
      <c r="O147" s="252">
        <f t="shared" si="20"/>
        <v>84812027.64610073</v>
      </c>
      <c r="P147" s="252">
        <f t="shared" si="20"/>
        <v>0</v>
      </c>
      <c r="Q147" s="252">
        <f t="shared" si="20"/>
        <v>0</v>
      </c>
      <c r="R147" s="252">
        <f t="shared" si="20"/>
        <v>0</v>
      </c>
      <c r="S147" s="254">
        <f>SUM(D147:G147,J147:R147)</f>
        <v>277481269.05246896</v>
      </c>
    </row>
    <row r="148" spans="1:19" x14ac:dyDescent="0.25">
      <c r="A148" s="250"/>
      <c r="B148" s="175"/>
      <c r="C148" s="251" t="str">
        <f>B87</f>
        <v>CAC Scenario A</v>
      </c>
      <c r="D148" s="242">
        <f t="shared" si="19"/>
        <v>-922590.92028320953</v>
      </c>
      <c r="E148" s="242">
        <f t="shared" si="19"/>
        <v>-263766.00109261274</v>
      </c>
      <c r="F148" s="242">
        <f t="shared" si="19"/>
        <v>-538304.3056371212</v>
      </c>
      <c r="G148" s="242">
        <f t="shared" si="19"/>
        <v>79959.62255824171</v>
      </c>
      <c r="H148" s="253" t="str">
        <f>B87</f>
        <v>CAC Scenario A</v>
      </c>
      <c r="I148" s="252">
        <f t="shared" si="20"/>
        <v>0</v>
      </c>
      <c r="J148" s="252">
        <f t="shared" si="20"/>
        <v>138783317.96634665</v>
      </c>
      <c r="K148" s="252">
        <f t="shared" si="20"/>
        <v>0</v>
      </c>
      <c r="L148" s="252">
        <f t="shared" si="20"/>
        <v>0</v>
      </c>
      <c r="M148" s="252">
        <f t="shared" si="20"/>
        <v>0</v>
      </c>
      <c r="N148" s="252">
        <f t="shared" si="20"/>
        <v>54896512.440021567</v>
      </c>
      <c r="O148" s="252">
        <f t="shared" si="20"/>
        <v>84812027.64610073</v>
      </c>
      <c r="P148" s="252">
        <f t="shared" si="20"/>
        <v>0</v>
      </c>
      <c r="Q148" s="252">
        <f t="shared" si="20"/>
        <v>0</v>
      </c>
      <c r="R148" s="252">
        <f t="shared" si="20"/>
        <v>0</v>
      </c>
      <c r="S148" s="254">
        <f>SUM(D148:G148,J148:R148)</f>
        <v>276847156.44801426</v>
      </c>
    </row>
    <row r="149" spans="1:19" x14ac:dyDescent="0.25">
      <c r="A149" s="250"/>
      <c r="B149" s="175"/>
      <c r="C149" s="251" t="str">
        <f>B88</f>
        <v>CAC Scenario B</v>
      </c>
      <c r="D149" s="242">
        <f t="shared" si="19"/>
        <v>-635839.05382926762</v>
      </c>
      <c r="E149" s="242">
        <f t="shared" si="19"/>
        <v>-218288.50365309417</v>
      </c>
      <c r="F149" s="242">
        <f t="shared" si="19"/>
        <v>-419038.98202031106</v>
      </c>
      <c r="G149" s="242">
        <f t="shared" si="19"/>
        <v>79959.300169384107</v>
      </c>
      <c r="H149" s="253" t="str">
        <f>B88</f>
        <v>CAC Scenario B</v>
      </c>
      <c r="I149" s="252">
        <f t="shared" si="20"/>
        <v>0</v>
      </c>
      <c r="J149" s="252">
        <f t="shared" si="20"/>
        <v>138783317.96634665</v>
      </c>
      <c r="K149" s="252">
        <f t="shared" si="20"/>
        <v>0</v>
      </c>
      <c r="L149" s="252">
        <f t="shared" si="20"/>
        <v>0</v>
      </c>
      <c r="M149" s="252">
        <f t="shared" si="20"/>
        <v>0</v>
      </c>
      <c r="N149" s="252">
        <f t="shared" si="20"/>
        <v>54896512.440021567</v>
      </c>
      <c r="O149" s="252">
        <f t="shared" si="20"/>
        <v>84812027.64610073</v>
      </c>
      <c r="P149" s="252">
        <f t="shared" si="20"/>
        <v>0</v>
      </c>
      <c r="Q149" s="252">
        <f t="shared" si="20"/>
        <v>0</v>
      </c>
      <c r="R149" s="252">
        <f t="shared" si="20"/>
        <v>0</v>
      </c>
      <c r="S149" s="254">
        <f>SUM(D149:G149,J149:R149)</f>
        <v>277298650.81313562</v>
      </c>
    </row>
    <row r="150" spans="1:19" x14ac:dyDescent="0.25">
      <c r="A150" s="250"/>
      <c r="B150" s="175"/>
      <c r="C150" s="251" t="str">
        <f>B89</f>
        <v>CAC Scenario C</v>
      </c>
      <c r="D150" s="242">
        <f t="shared" si="19"/>
        <v>-398957.79228290543</v>
      </c>
      <c r="E150" s="242">
        <f t="shared" si="19"/>
        <v>-163716.40838254616</v>
      </c>
      <c r="F150" s="242">
        <f t="shared" si="19"/>
        <v>-307395.18411602825</v>
      </c>
      <c r="G150" s="242">
        <f t="shared" si="19"/>
        <v>53306.313472522423</v>
      </c>
      <c r="H150" s="253" t="str">
        <f>B89</f>
        <v>CAC Scenario C</v>
      </c>
      <c r="I150" s="252">
        <f t="shared" si="20"/>
        <v>0</v>
      </c>
      <c r="J150" s="252">
        <f t="shared" si="20"/>
        <v>138783317.96634665</v>
      </c>
      <c r="K150" s="252">
        <f t="shared" si="20"/>
        <v>0</v>
      </c>
      <c r="L150" s="252">
        <f t="shared" si="20"/>
        <v>0</v>
      </c>
      <c r="M150" s="252">
        <f t="shared" si="20"/>
        <v>0</v>
      </c>
      <c r="N150" s="252">
        <f t="shared" si="20"/>
        <v>37187263.171689659</v>
      </c>
      <c r="O150" s="252">
        <f t="shared" si="20"/>
        <v>102521276.91443264</v>
      </c>
      <c r="P150" s="252">
        <f t="shared" si="20"/>
        <v>0</v>
      </c>
      <c r="Q150" s="252">
        <f t="shared" si="20"/>
        <v>0</v>
      </c>
      <c r="R150" s="252">
        <f t="shared" si="20"/>
        <v>0</v>
      </c>
      <c r="S150" s="254">
        <f>SUM(D150:G150,J150:R150)</f>
        <v>277675094.98115999</v>
      </c>
    </row>
    <row r="151" spans="1:19" x14ac:dyDescent="0.25">
      <c r="A151" s="250"/>
      <c r="B151" s="175"/>
      <c r="C151" s="251" t="str">
        <f>B90</f>
        <v>CAC Scenario D</v>
      </c>
      <c r="D151" s="242">
        <f t="shared" si="19"/>
        <v>-62337.163094229996</v>
      </c>
      <c r="E151" s="242">
        <f t="shared" si="19"/>
        <v>27285.97480429709</v>
      </c>
      <c r="F151" s="242">
        <f t="shared" si="19"/>
        <v>-92213.112222775817</v>
      </c>
      <c r="G151" s="242">
        <f t="shared" si="19"/>
        <v>-2.2647641599178314E-3</v>
      </c>
      <c r="H151" s="253" t="str">
        <f>B90</f>
        <v>CAC Scenario D</v>
      </c>
      <c r="I151" s="252">
        <f t="shared" si="20"/>
        <v>0</v>
      </c>
      <c r="J151" s="252">
        <f t="shared" si="20"/>
        <v>138783317.96634665</v>
      </c>
      <c r="K151" s="252">
        <f t="shared" si="20"/>
        <v>0</v>
      </c>
      <c r="L151" s="252">
        <f t="shared" si="20"/>
        <v>0</v>
      </c>
      <c r="M151" s="252">
        <f t="shared" si="20"/>
        <v>0</v>
      </c>
      <c r="N151" s="252">
        <f t="shared" si="20"/>
        <v>72804145.617365435</v>
      </c>
      <c r="O151" s="252">
        <f t="shared" si="20"/>
        <v>66904394.468756877</v>
      </c>
      <c r="P151" s="252">
        <f t="shared" si="20"/>
        <v>0</v>
      </c>
      <c r="Q151" s="252">
        <f t="shared" si="20"/>
        <v>0</v>
      </c>
      <c r="R151" s="252">
        <f t="shared" si="20"/>
        <v>0</v>
      </c>
      <c r="S151" s="254">
        <f>SUM(D151:G151,J151:R151)</f>
        <v>278364593.74969149</v>
      </c>
    </row>
    <row r="152" spans="1:19" x14ac:dyDescent="0.25">
      <c r="A152" s="250"/>
      <c r="B152" s="175"/>
      <c r="C152" s="175"/>
      <c r="D152" s="509" t="str">
        <f>"Initial Benefit = "&amp;A21&amp;" + "&amp;A96&amp;" + "&amp;A121</f>
        <v>Initial Benefit =  + Loss Metric + Reserve Metric</v>
      </c>
      <c r="E152" s="510"/>
      <c r="F152" s="510"/>
      <c r="G152" s="510"/>
      <c r="H152" s="510"/>
      <c r="I152" s="510"/>
      <c r="J152" s="510"/>
      <c r="K152" s="510"/>
      <c r="L152" s="510"/>
      <c r="M152" s="510"/>
      <c r="N152" s="510"/>
      <c r="O152" s="510"/>
      <c r="P152" s="510"/>
      <c r="Q152" s="510"/>
      <c r="R152" s="510"/>
      <c r="S152" s="511"/>
    </row>
    <row r="153" spans="1:19" x14ac:dyDescent="0.25">
      <c r="A153" s="250"/>
      <c r="B153" s="175"/>
      <c r="C153" s="144"/>
      <c r="D153" s="530" t="s">
        <v>160</v>
      </c>
      <c r="E153" s="531"/>
      <c r="F153" s="531"/>
      <c r="G153" s="531"/>
      <c r="H153" s="531"/>
      <c r="I153" s="531"/>
      <c r="J153" s="531"/>
      <c r="K153" s="531"/>
      <c r="L153" s="531"/>
      <c r="M153" s="531"/>
      <c r="N153" s="531"/>
      <c r="O153" s="531"/>
      <c r="P153" s="531"/>
      <c r="Q153" s="531"/>
      <c r="R153" s="531"/>
      <c r="S153" s="532"/>
    </row>
    <row r="154" spans="1:19" ht="15" customHeight="1" x14ac:dyDescent="0.25">
      <c r="A154" s="248" t="s">
        <v>24</v>
      </c>
      <c r="B154" s="206"/>
      <c r="C154" s="175"/>
      <c r="D154" s="521" t="s">
        <v>164</v>
      </c>
      <c r="E154" s="522"/>
      <c r="F154" s="522"/>
      <c r="G154" s="522"/>
      <c r="H154" s="522"/>
      <c r="I154" s="522"/>
      <c r="J154" s="522"/>
      <c r="K154" s="522"/>
      <c r="L154" s="522"/>
      <c r="M154" s="522"/>
      <c r="N154" s="522"/>
      <c r="O154" s="522"/>
      <c r="P154" s="522"/>
      <c r="Q154" s="522"/>
      <c r="R154" s="522"/>
      <c r="S154" s="523"/>
    </row>
    <row r="155" spans="1:19" ht="15" customHeight="1" x14ac:dyDescent="0.25">
      <c r="A155" s="248"/>
      <c r="B155" s="206"/>
      <c r="C155" s="175"/>
      <c r="D155" s="502" t="s">
        <v>161</v>
      </c>
      <c r="E155" s="98"/>
      <c r="F155" s="98"/>
      <c r="G155" s="505"/>
      <c r="H155"/>
      <c r="I155"/>
      <c r="J155"/>
      <c r="K155"/>
      <c r="L155"/>
      <c r="M155"/>
      <c r="N155"/>
      <c r="O155"/>
      <c r="P155" s="503"/>
      <c r="Q155" s="503"/>
      <c r="R155" s="503"/>
      <c r="S155" s="504"/>
    </row>
    <row r="156" spans="1:19" s="378" customFormat="1" ht="15" customHeight="1" x14ac:dyDescent="0.25">
      <c r="A156" s="429"/>
      <c r="B156" s="430"/>
      <c r="C156" s="426"/>
      <c r="D156" s="527" t="s">
        <v>165</v>
      </c>
      <c r="E156" s="528"/>
      <c r="F156" s="528"/>
      <c r="G156" s="528"/>
      <c r="H156" s="528"/>
      <c r="I156" s="528"/>
      <c r="J156" s="528"/>
      <c r="K156" s="528"/>
      <c r="L156" s="528"/>
      <c r="M156" s="528"/>
      <c r="N156" s="528"/>
      <c r="O156" s="528"/>
      <c r="P156" s="528"/>
      <c r="Q156" s="528"/>
      <c r="R156" s="528"/>
      <c r="S156" s="529"/>
    </row>
    <row r="157" spans="1:19" s="158" customFormat="1" ht="38.25" customHeight="1" x14ac:dyDescent="0.25">
      <c r="A157" s="262"/>
      <c r="B157" s="262"/>
      <c r="C157" s="175"/>
      <c r="D157" s="92"/>
      <c r="E157" s="92"/>
      <c r="F157" s="92"/>
      <c r="G157" s="92"/>
      <c r="H157" s="262"/>
      <c r="I157" s="262"/>
      <c r="J157" s="263"/>
      <c r="K157" s="264"/>
      <c r="L157" s="264"/>
      <c r="M157" s="265"/>
      <c r="N157" s="265"/>
      <c r="O157" s="262"/>
      <c r="P157" s="262"/>
      <c r="Q157" s="262"/>
      <c r="R157" s="262"/>
      <c r="S157" s="262"/>
    </row>
    <row r="158" spans="1:19" x14ac:dyDescent="0.25">
      <c r="D158" s="515" t="s">
        <v>126</v>
      </c>
      <c r="E158" s="516"/>
      <c r="F158" s="516"/>
      <c r="G158" s="517"/>
      <c r="H158" s="78"/>
      <c r="I158" s="512" t="s">
        <v>127</v>
      </c>
      <c r="J158" s="513"/>
      <c r="K158" s="513"/>
      <c r="L158" s="513"/>
      <c r="M158" s="513"/>
      <c r="N158" s="513"/>
      <c r="O158" s="513"/>
      <c r="P158" s="513"/>
      <c r="Q158" s="513"/>
      <c r="R158" s="514"/>
    </row>
    <row r="159" spans="1:19" ht="60" x14ac:dyDescent="0.25">
      <c r="D159" s="427" t="str">
        <f>D146</f>
        <v>IPC TSP</v>
      </c>
      <c r="E159" s="427" t="str">
        <f>E146</f>
        <v>NWE TSP</v>
      </c>
      <c r="F159" s="427" t="str">
        <f>F146</f>
        <v>PAC TSP</v>
      </c>
      <c r="G159" s="427" t="str">
        <f>G146</f>
        <v>PGE TSP</v>
      </c>
      <c r="H159" s="78"/>
      <c r="I159" s="197" t="str">
        <f t="shared" ref="I159:R159" si="21">I146</f>
        <v>NA</v>
      </c>
      <c r="J159" s="197" t="str">
        <f t="shared" si="21"/>
        <v>Q6 Incremental PAC BAA LSEs Load</v>
      </c>
      <c r="K159" s="197" t="str">
        <f t="shared" si="21"/>
        <v>NA</v>
      </c>
      <c r="L159" s="197" t="str">
        <f t="shared" si="21"/>
        <v>NA</v>
      </c>
      <c r="M159" s="197" t="str">
        <f t="shared" si="21"/>
        <v>NA</v>
      </c>
      <c r="N159" s="197" t="str">
        <f t="shared" si="21"/>
        <v>Q6 WY Wind (New)</v>
      </c>
      <c r="O159" s="197" t="str">
        <f t="shared" si="21"/>
        <v>Q6 Incremental WY Gen (Existing)</v>
      </c>
      <c r="P159" s="197" t="str">
        <f t="shared" si="21"/>
        <v>NA</v>
      </c>
      <c r="Q159" s="197" t="str">
        <f t="shared" si="21"/>
        <v>NA</v>
      </c>
      <c r="R159" s="197" t="str">
        <f t="shared" si="21"/>
        <v>NA</v>
      </c>
    </row>
    <row r="160" spans="1:19" ht="30" x14ac:dyDescent="0.25">
      <c r="D160" s="197" t="s">
        <v>73</v>
      </c>
      <c r="E160" s="197" t="s">
        <v>73</v>
      </c>
      <c r="F160" s="197" t="s">
        <v>73</v>
      </c>
      <c r="G160" s="197" t="s">
        <v>73</v>
      </c>
      <c r="H160" s="78"/>
      <c r="I160" s="78"/>
      <c r="J160" s="139"/>
      <c r="K160" s="147"/>
      <c r="L160" s="147"/>
    </row>
    <row r="161" spans="4:7" x14ac:dyDescent="0.25">
      <c r="D161" s="78"/>
      <c r="E161" s="78"/>
      <c r="F161" s="78"/>
      <c r="G161" s="78"/>
    </row>
    <row r="162" spans="4:7" x14ac:dyDescent="0.25">
      <c r="D162" s="78"/>
      <c r="E162" s="78"/>
      <c r="F162" s="78"/>
      <c r="G162" s="78"/>
    </row>
    <row r="163" spans="4:7" x14ac:dyDescent="0.25">
      <c r="D163" s="78"/>
      <c r="E163" s="78"/>
      <c r="F163" s="78"/>
      <c r="G163" s="78"/>
    </row>
  </sheetData>
  <sheetProtection algorithmName="SHA-512" hashValue="jOscLPYXTzbQbpcP9d/yZwXW0lbFilH7ex4sYTFI+QUVYwMod+FtpwoOb9q0dMia01xLSxext3vYc3q6tVaKRQ==" saltValue="6eIPvF5l3Q/S7t/9ekcCPw==" spinCount="100000" sheet="1" objects="1" scenarios="1"/>
  <mergeCells count="14">
    <mergeCell ref="D152:S152"/>
    <mergeCell ref="I158:R158"/>
    <mergeCell ref="D158:G158"/>
    <mergeCell ref="C8:D8"/>
    <mergeCell ref="E8:F8"/>
    <mergeCell ref="H145:S145"/>
    <mergeCell ref="C92:L92"/>
    <mergeCell ref="D144:S144"/>
    <mergeCell ref="B30:E30"/>
    <mergeCell ref="B32:E32"/>
    <mergeCell ref="D154:S154"/>
    <mergeCell ref="D156:S156"/>
    <mergeCell ref="D153:S153"/>
    <mergeCell ref="B31:E31"/>
  </mergeCells>
  <pageMargins left="0.7" right="0.7" top="0.75" bottom="0.75" header="0.3" footer="0.3"/>
  <pageSetup scale="2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194"/>
  <sheetViews>
    <sheetView showGridLines="0" zoomScale="80" zoomScaleNormal="80" workbookViewId="0">
      <selection activeCell="D168" sqref="D168"/>
    </sheetView>
  </sheetViews>
  <sheetFormatPr defaultRowHeight="15" x14ac:dyDescent="0.25"/>
  <cols>
    <col min="1" max="1" width="14.85546875" bestFit="1" customWidth="1"/>
    <col min="2" max="3" width="33.85546875" customWidth="1"/>
    <col min="4" max="4" width="26.28515625" customWidth="1"/>
    <col min="5" max="7" width="17.28515625" customWidth="1"/>
    <col min="8" max="8" width="21.140625" bestFit="1" customWidth="1"/>
    <col min="9" max="9" width="21.28515625" customWidth="1"/>
    <col min="10" max="10" width="18.42578125" customWidth="1"/>
    <col min="11" max="14" width="15.5703125" customWidth="1"/>
    <col min="15" max="15" width="20.5703125" customWidth="1"/>
    <col min="16" max="19" width="15.5703125" customWidth="1"/>
    <col min="20" max="20" width="20.28515625" bestFit="1" customWidth="1"/>
    <col min="21" max="22" width="9" customWidth="1"/>
    <col min="23" max="23" width="19.5703125" bestFit="1" customWidth="1"/>
    <col min="24" max="27" width="23.140625" customWidth="1"/>
  </cols>
  <sheetData>
    <row r="1" spans="1:22" ht="18.75" x14ac:dyDescent="0.3">
      <c r="A1" s="61" t="s">
        <v>64</v>
      </c>
      <c r="B1" s="63"/>
      <c r="C1" s="63"/>
      <c r="D1" s="62"/>
    </row>
    <row r="2" spans="1:22" x14ac:dyDescent="0.25">
      <c r="A2" t="s">
        <v>62</v>
      </c>
      <c r="B2" s="52"/>
    </row>
    <row r="6" spans="1:22" x14ac:dyDescent="0.25">
      <c r="A6" s="14" t="s">
        <v>6</v>
      </c>
    </row>
    <row r="7" spans="1:22" x14ac:dyDescent="0.25">
      <c r="A7" s="14"/>
      <c r="B7" s="555" t="s">
        <v>38</v>
      </c>
      <c r="C7" s="556"/>
      <c r="D7" s="556"/>
      <c r="E7" s="556"/>
      <c r="F7" s="556"/>
      <c r="G7" s="556"/>
      <c r="H7" s="556"/>
      <c r="I7" s="557"/>
    </row>
    <row r="8" spans="1:22" ht="36.75" customHeight="1" x14ac:dyDescent="0.25">
      <c r="B8" s="53" t="s">
        <v>7</v>
      </c>
      <c r="C8" s="558" t="s">
        <v>8</v>
      </c>
      <c r="D8" s="558"/>
      <c r="E8" s="558"/>
      <c r="F8" s="558"/>
      <c r="G8" s="558"/>
      <c r="H8" s="558"/>
      <c r="I8" s="559"/>
      <c r="J8" s="40"/>
      <c r="K8" s="40"/>
      <c r="L8" s="40"/>
      <c r="M8" s="40"/>
      <c r="N8" s="40"/>
      <c r="O8" s="40"/>
      <c r="P8" s="40"/>
      <c r="Q8" s="40"/>
      <c r="R8" s="40"/>
      <c r="S8" s="40"/>
      <c r="T8" s="40"/>
      <c r="U8" s="40"/>
      <c r="V8" s="40"/>
    </row>
    <row r="9" spans="1:22" x14ac:dyDescent="0.25">
      <c r="B9" s="53" t="s">
        <v>9</v>
      </c>
      <c r="C9" s="560" t="s">
        <v>10</v>
      </c>
      <c r="D9" s="560"/>
      <c r="E9" s="560"/>
      <c r="F9" s="560"/>
      <c r="G9" s="560"/>
      <c r="H9" s="560"/>
      <c r="I9" s="561"/>
      <c r="J9" s="1"/>
      <c r="K9" s="1"/>
      <c r="L9" s="1"/>
      <c r="M9" s="1"/>
      <c r="N9" s="1"/>
      <c r="O9" s="1"/>
      <c r="P9" s="1"/>
      <c r="Q9" s="1"/>
      <c r="R9" s="1"/>
      <c r="S9" s="1"/>
      <c r="T9" s="1"/>
      <c r="U9" s="1"/>
      <c r="V9" s="1"/>
    </row>
    <row r="10" spans="1:22" x14ac:dyDescent="0.25">
      <c r="B10" s="54" t="s">
        <v>11</v>
      </c>
      <c r="C10" s="55" t="s">
        <v>12</v>
      </c>
      <c r="D10" s="55"/>
      <c r="E10" s="55"/>
      <c r="F10" s="55"/>
      <c r="G10" s="55"/>
      <c r="H10" s="55"/>
      <c r="I10" s="56"/>
      <c r="J10" s="1"/>
      <c r="K10" s="1"/>
      <c r="L10" s="1"/>
      <c r="M10" s="1"/>
      <c r="N10" s="1"/>
      <c r="O10" s="1"/>
      <c r="P10" s="1"/>
      <c r="Q10" s="1"/>
      <c r="R10" s="1"/>
      <c r="S10" s="1"/>
      <c r="T10" s="1"/>
      <c r="U10" s="1"/>
      <c r="V10" s="1"/>
    </row>
    <row r="11" spans="1:22" x14ac:dyDescent="0.25">
      <c r="B11" s="227" t="s">
        <v>39</v>
      </c>
      <c r="E11" s="41"/>
      <c r="F11" s="41"/>
      <c r="G11" s="41"/>
      <c r="H11" s="41"/>
      <c r="I11" s="41"/>
      <c r="J11" s="41"/>
      <c r="K11" s="41"/>
      <c r="L11" s="41"/>
      <c r="M11" s="41"/>
      <c r="N11" s="41"/>
      <c r="O11" s="41"/>
      <c r="P11" s="41"/>
      <c r="Q11" s="41"/>
    </row>
    <row r="12" spans="1:22" ht="15" customHeight="1" x14ac:dyDescent="0.25">
      <c r="B12" s="16" t="s">
        <v>7</v>
      </c>
      <c r="C12" s="26" t="s">
        <v>41</v>
      </c>
      <c r="D12" s="26"/>
      <c r="E12" s="26"/>
      <c r="F12" s="4"/>
      <c r="G12" s="4"/>
      <c r="H12" s="4"/>
      <c r="I12" s="4"/>
      <c r="J12" s="1"/>
      <c r="K12" s="1"/>
      <c r="L12" s="1"/>
      <c r="M12" s="1"/>
      <c r="N12" s="1"/>
      <c r="O12" s="1"/>
      <c r="P12" s="1"/>
      <c r="Q12" s="1"/>
      <c r="R12" s="1"/>
      <c r="S12" s="1"/>
      <c r="T12" s="1"/>
      <c r="U12" s="1"/>
    </row>
    <row r="13" spans="1:22" x14ac:dyDescent="0.25">
      <c r="B13" s="16" t="s">
        <v>9</v>
      </c>
      <c r="C13" s="3" t="s">
        <v>40</v>
      </c>
      <c r="D13" s="3"/>
      <c r="E13" s="4"/>
      <c r="F13" s="4"/>
      <c r="G13" s="4"/>
      <c r="H13" s="4"/>
      <c r="I13" s="4"/>
      <c r="J13" s="41"/>
      <c r="K13" s="41"/>
      <c r="L13" s="41"/>
      <c r="M13" s="41"/>
      <c r="N13" s="41"/>
      <c r="O13" s="41"/>
      <c r="P13" s="41"/>
      <c r="Q13" s="41"/>
    </row>
    <row r="14" spans="1:22" x14ac:dyDescent="0.25">
      <c r="B14" s="16" t="s">
        <v>11</v>
      </c>
      <c r="C14" s="26" t="str">
        <f>"Yes the alternative project is greater than 20 million.  Alternative project cost = "&amp;TEXT(D16,"$###,###,###,##0.")</f>
        <v>Yes the alternative project is greater than 20 million.  Alternative project cost = $2,744,026,994.</v>
      </c>
      <c r="E14" s="4"/>
      <c r="F14" s="4"/>
      <c r="G14" s="4"/>
      <c r="H14" s="4"/>
      <c r="I14" s="4"/>
      <c r="J14" s="1"/>
      <c r="K14" s="1"/>
      <c r="L14" s="1"/>
      <c r="M14" s="1"/>
      <c r="N14" s="1"/>
      <c r="O14" s="1"/>
      <c r="P14" s="1"/>
      <c r="Q14" s="1"/>
      <c r="R14" s="1"/>
      <c r="S14" s="1"/>
      <c r="T14" s="1"/>
      <c r="U14" s="1"/>
    </row>
    <row r="15" spans="1:22" x14ac:dyDescent="0.25">
      <c r="D15" s="42" t="str">
        <f>Planning!F7</f>
        <v>Q6 2014$</v>
      </c>
      <c r="J15" s="41"/>
      <c r="K15" s="41"/>
      <c r="L15" s="41"/>
      <c r="M15" s="41"/>
      <c r="N15" s="41"/>
      <c r="O15" s="41"/>
      <c r="P15" s="41"/>
      <c r="Q15" s="41"/>
    </row>
    <row r="16" spans="1:22" s="7" customFormat="1" x14ac:dyDescent="0.25">
      <c r="C16" s="112" t="str">
        <f>Planning!E10</f>
        <v>Alternative Project</v>
      </c>
      <c r="D16" s="13">
        <f>Planning!F10</f>
        <v>2744026994</v>
      </c>
      <c r="J16" s="1"/>
      <c r="K16" s="1"/>
      <c r="L16" s="1"/>
      <c r="M16" s="1"/>
      <c r="N16" s="1"/>
      <c r="O16" s="1"/>
      <c r="P16" s="1"/>
      <c r="Q16" s="1"/>
      <c r="R16" s="1"/>
      <c r="S16" s="1"/>
      <c r="T16" s="1"/>
      <c r="U16" s="1"/>
    </row>
    <row r="17" spans="1:23" x14ac:dyDescent="0.25">
      <c r="C17" s="2"/>
      <c r="D17" s="8"/>
      <c r="J17" s="41"/>
      <c r="K17" s="41"/>
      <c r="L17" s="41"/>
      <c r="M17" s="41"/>
      <c r="N17" s="41"/>
      <c r="O17" s="41"/>
      <c r="P17" s="41"/>
      <c r="Q17" s="41"/>
    </row>
    <row r="18" spans="1:23" x14ac:dyDescent="0.25">
      <c r="J18" s="1"/>
      <c r="K18" s="1"/>
      <c r="L18" s="1"/>
      <c r="M18" s="1"/>
      <c r="N18" s="1"/>
      <c r="O18" s="1"/>
      <c r="P18" s="1"/>
      <c r="Q18" s="1"/>
      <c r="R18" s="1"/>
      <c r="S18" s="1"/>
      <c r="T18" s="1"/>
      <c r="U18" s="1"/>
    </row>
    <row r="20" spans="1:23" x14ac:dyDescent="0.25">
      <c r="A20" s="14" t="s">
        <v>13</v>
      </c>
    </row>
    <row r="21" spans="1:23" ht="85.5" customHeight="1" x14ac:dyDescent="0.25">
      <c r="A21" s="39"/>
      <c r="B21" s="548" t="s">
        <v>35</v>
      </c>
      <c r="C21" s="549"/>
      <c r="D21" s="549"/>
      <c r="E21" s="549"/>
      <c r="F21" s="549"/>
      <c r="G21" s="549"/>
      <c r="H21" s="549"/>
      <c r="I21" s="550"/>
      <c r="J21" s="3"/>
      <c r="K21" s="3"/>
      <c r="L21" s="3"/>
      <c r="M21" s="3"/>
      <c r="N21" s="3"/>
      <c r="O21" s="3"/>
      <c r="P21" s="3"/>
      <c r="Q21" s="3"/>
      <c r="R21" s="98"/>
      <c r="S21" s="98"/>
      <c r="T21" s="98"/>
      <c r="U21" s="98"/>
      <c r="V21" s="98"/>
      <c r="W21" s="51"/>
    </row>
    <row r="22" spans="1:23" x14ac:dyDescent="0.25">
      <c r="A22" s="39"/>
      <c r="B22" s="50"/>
      <c r="C22" s="50"/>
      <c r="D22" s="77"/>
      <c r="E22" s="77"/>
      <c r="F22" s="77"/>
      <c r="G22" s="77"/>
      <c r="H22" s="77"/>
      <c r="I22" s="50"/>
      <c r="J22" s="3"/>
      <c r="K22" s="3"/>
      <c r="L22" s="3"/>
      <c r="M22" s="3"/>
      <c r="N22" s="3"/>
      <c r="O22" s="3"/>
      <c r="P22" s="3"/>
      <c r="Q22" s="3"/>
      <c r="R22" s="98"/>
      <c r="S22" s="98"/>
      <c r="T22" s="98"/>
      <c r="U22" s="98"/>
      <c r="V22" s="98"/>
      <c r="W22" s="51"/>
    </row>
    <row r="23" spans="1:23" x14ac:dyDescent="0.25">
      <c r="A23" s="22" t="s">
        <v>34</v>
      </c>
      <c r="C23" s="564" t="str">
        <f>Planning!D144</f>
        <v>Initial Benefit</v>
      </c>
      <c r="D23" s="564"/>
      <c r="E23" s="564"/>
      <c r="F23" s="564"/>
      <c r="G23" s="564"/>
      <c r="H23" s="564"/>
      <c r="I23" s="564"/>
      <c r="J23" s="564"/>
      <c r="K23" s="564"/>
      <c r="L23" s="564"/>
      <c r="M23" s="564"/>
      <c r="N23" s="564"/>
      <c r="O23" s="564"/>
      <c r="P23" s="564"/>
      <c r="Q23" s="564"/>
      <c r="R23" s="564"/>
      <c r="S23" s="564"/>
      <c r="T23" s="565"/>
      <c r="U23" s="99"/>
      <c r="V23" s="51"/>
      <c r="W23" s="51"/>
    </row>
    <row r="24" spans="1:23" ht="30" customHeight="1" x14ac:dyDescent="0.25">
      <c r="A24" s="22"/>
      <c r="C24" s="201"/>
      <c r="D24" s="566" t="str">
        <f>Planning!D145:G145</f>
        <v>Loss Benefit</v>
      </c>
      <c r="E24" s="567"/>
      <c r="F24" s="567"/>
      <c r="G24" s="568"/>
      <c r="H24" s="201"/>
      <c r="I24" s="201"/>
      <c r="J24" s="566" t="str">
        <f>Planning!H145</f>
        <v>Capital Cost Benefit</v>
      </c>
      <c r="K24" s="567"/>
      <c r="L24" s="567"/>
      <c r="M24" s="567"/>
      <c r="N24" s="567"/>
      <c r="O24" s="567"/>
      <c r="P24" s="567"/>
      <c r="Q24" s="567"/>
      <c r="R24" s="567"/>
      <c r="S24" s="568"/>
      <c r="T24" s="204"/>
      <c r="U24" s="99"/>
      <c r="V24" s="51"/>
      <c r="W24" s="51"/>
    </row>
    <row r="25" spans="1:23" s="312" customFormat="1" ht="51.75" customHeight="1" x14ac:dyDescent="0.25">
      <c r="B25" s="329"/>
      <c r="C25" s="330"/>
      <c r="D25" s="330" t="str">
        <f>Planning!D146</f>
        <v>IPC TSP</v>
      </c>
      <c r="E25" s="331" t="str">
        <f>Planning!E146</f>
        <v>NWE TSP</v>
      </c>
      <c r="F25" s="331" t="str">
        <f>Planning!F146</f>
        <v>PAC TSP</v>
      </c>
      <c r="G25" s="331" t="str">
        <f>Planning!G146</f>
        <v>PGE TSP</v>
      </c>
      <c r="H25" s="332"/>
      <c r="I25" s="333"/>
      <c r="J25" s="334" t="str">
        <f>Planning!C85</f>
        <v>NA</v>
      </c>
      <c r="K25" s="334" t="str">
        <f>Planning!D85</f>
        <v>Q6 Incremental PAC BAA LSEs Load</v>
      </c>
      <c r="L25" s="334" t="str">
        <f>Planning!E85</f>
        <v>NA</v>
      </c>
      <c r="M25" s="334" t="str">
        <f>Planning!F85</f>
        <v>NA</v>
      </c>
      <c r="N25" s="334" t="str">
        <f>Planning!G85</f>
        <v>NA</v>
      </c>
      <c r="O25" s="334" t="str">
        <f>Planning!H85</f>
        <v>Q6 WY Wind (New)</v>
      </c>
      <c r="P25" s="334" t="str">
        <f>Planning!I85</f>
        <v>Q6 Incremental WY Gen (Existing)</v>
      </c>
      <c r="Q25" s="334" t="str">
        <f>Planning!J85</f>
        <v>NA</v>
      </c>
      <c r="R25" s="334" t="str">
        <f>Planning!K85</f>
        <v>NA</v>
      </c>
      <c r="S25" s="334" t="str">
        <f>Planning!L85</f>
        <v>NA</v>
      </c>
      <c r="T25" s="335" t="s">
        <v>140</v>
      </c>
      <c r="U25" s="336"/>
      <c r="V25" s="333"/>
      <c r="W25" s="333"/>
    </row>
    <row r="26" spans="1:23" x14ac:dyDescent="0.25">
      <c r="C26" s="203" t="str">
        <f>Planning!C147</f>
        <v>DFRTP</v>
      </c>
      <c r="D26" s="20">
        <f>Planning!D147</f>
        <v>-777137</v>
      </c>
      <c r="E26" s="20">
        <f>Planning!E147</f>
        <v>-66699</v>
      </c>
      <c r="F26" s="20">
        <f>Planning!F147</f>
        <v>-251599</v>
      </c>
      <c r="G26" s="20">
        <f>Planning!G147</f>
        <v>84846</v>
      </c>
      <c r="H26" s="231"/>
      <c r="I26" s="232" t="str">
        <f>C26</f>
        <v>DFRTP</v>
      </c>
      <c r="J26" s="299">
        <f>Planning!C86</f>
        <v>0</v>
      </c>
      <c r="K26" s="299">
        <f>Planning!D86</f>
        <v>138783317.96634665</v>
      </c>
      <c r="L26" s="299">
        <f>Planning!E86</f>
        <v>0</v>
      </c>
      <c r="M26" s="299">
        <f>Planning!F86</f>
        <v>0</v>
      </c>
      <c r="N26" s="299">
        <f>Planning!G86</f>
        <v>0</v>
      </c>
      <c r="O26" s="299">
        <f>Planning!H86</f>
        <v>54896512.440021567</v>
      </c>
      <c r="P26" s="299">
        <f>Planning!I86</f>
        <v>84812027.64610073</v>
      </c>
      <c r="Q26" s="299">
        <f>Planning!J86</f>
        <v>0</v>
      </c>
      <c r="R26" s="299">
        <f>Planning!K86</f>
        <v>0</v>
      </c>
      <c r="S26" s="299">
        <f>Planning!L86</f>
        <v>0</v>
      </c>
      <c r="T26" s="299">
        <f>SUM(D26:G26,J26:S26)</f>
        <v>277481269.05246896</v>
      </c>
      <c r="U26" s="94"/>
      <c r="V26" s="51"/>
      <c r="W26" s="51"/>
    </row>
    <row r="27" spans="1:23" x14ac:dyDescent="0.25">
      <c r="C27" s="73" t="str">
        <f>Planning!C148</f>
        <v>CAC Scenario A</v>
      </c>
      <c r="D27" s="20">
        <f>Planning!D148</f>
        <v>-922590.92028320953</v>
      </c>
      <c r="E27" s="20">
        <f>Planning!E148</f>
        <v>-263766.00109261274</v>
      </c>
      <c r="F27" s="20">
        <f>Planning!F148</f>
        <v>-538304.3056371212</v>
      </c>
      <c r="G27" s="20">
        <f>Planning!G148</f>
        <v>79959.62255824171</v>
      </c>
      <c r="H27" s="231"/>
      <c r="I27" s="232" t="str">
        <f t="shared" ref="I27:I30" si="0">C27</f>
        <v>CAC Scenario A</v>
      </c>
      <c r="J27" s="299">
        <f>Planning!C87</f>
        <v>0</v>
      </c>
      <c r="K27" s="299">
        <f>Planning!D87</f>
        <v>138783317.96634665</v>
      </c>
      <c r="L27" s="299">
        <f>Planning!E87</f>
        <v>0</v>
      </c>
      <c r="M27" s="299">
        <f>Planning!F87</f>
        <v>0</v>
      </c>
      <c r="N27" s="299">
        <f>Planning!G87</f>
        <v>0</v>
      </c>
      <c r="O27" s="299">
        <f>Planning!H87</f>
        <v>54896512.440021567</v>
      </c>
      <c r="P27" s="299">
        <f>Planning!I87</f>
        <v>84812027.64610073</v>
      </c>
      <c r="Q27" s="299">
        <f>Planning!J87</f>
        <v>0</v>
      </c>
      <c r="R27" s="299">
        <f>Planning!K87</f>
        <v>0</v>
      </c>
      <c r="S27" s="299">
        <f>Planning!L87</f>
        <v>0</v>
      </c>
      <c r="T27" s="299">
        <f t="shared" ref="T27:T30" si="1">SUM(D27:G27,J27:S27)</f>
        <v>276847156.44801426</v>
      </c>
      <c r="U27" s="94"/>
      <c r="V27" s="51"/>
      <c r="W27" s="51"/>
    </row>
    <row r="28" spans="1:23" x14ac:dyDescent="0.25">
      <c r="C28" s="73" t="str">
        <f>Planning!C149</f>
        <v>CAC Scenario B</v>
      </c>
      <c r="D28" s="20">
        <f>Planning!D149</f>
        <v>-635839.05382926762</v>
      </c>
      <c r="E28" s="20">
        <f>Planning!E149</f>
        <v>-218288.50365309417</v>
      </c>
      <c r="F28" s="20">
        <f>Planning!F149</f>
        <v>-419038.98202031106</v>
      </c>
      <c r="G28" s="20">
        <f>Planning!G149</f>
        <v>79959.300169384107</v>
      </c>
      <c r="H28" s="231"/>
      <c r="I28" s="232" t="str">
        <f t="shared" si="0"/>
        <v>CAC Scenario B</v>
      </c>
      <c r="J28" s="299">
        <f>Planning!C88</f>
        <v>0</v>
      </c>
      <c r="K28" s="299">
        <f>Planning!D88</f>
        <v>138783317.96634665</v>
      </c>
      <c r="L28" s="299">
        <f>Planning!E88</f>
        <v>0</v>
      </c>
      <c r="M28" s="299">
        <f>Planning!F88</f>
        <v>0</v>
      </c>
      <c r="N28" s="299">
        <f>Planning!G88</f>
        <v>0</v>
      </c>
      <c r="O28" s="299">
        <f>Planning!H88</f>
        <v>54896512.440021567</v>
      </c>
      <c r="P28" s="299">
        <f>Planning!I88</f>
        <v>84812027.64610073</v>
      </c>
      <c r="Q28" s="299">
        <f>Planning!J88</f>
        <v>0</v>
      </c>
      <c r="R28" s="299">
        <f>Planning!K88</f>
        <v>0</v>
      </c>
      <c r="S28" s="299">
        <f>Planning!L88</f>
        <v>0</v>
      </c>
      <c r="T28" s="299">
        <f t="shared" si="1"/>
        <v>277298650.81313562</v>
      </c>
      <c r="U28" s="94"/>
      <c r="V28" s="51"/>
      <c r="W28" s="51"/>
    </row>
    <row r="29" spans="1:23" x14ac:dyDescent="0.25">
      <c r="C29" s="73" t="str">
        <f>Planning!C150</f>
        <v>CAC Scenario C</v>
      </c>
      <c r="D29" s="20">
        <f>Planning!D150</f>
        <v>-398957.79228290543</v>
      </c>
      <c r="E29" s="20">
        <f>Planning!E150</f>
        <v>-163716.40838254616</v>
      </c>
      <c r="F29" s="20">
        <f>Planning!F150</f>
        <v>-307395.18411602825</v>
      </c>
      <c r="G29" s="20">
        <f>Planning!G150</f>
        <v>53306.313472522423</v>
      </c>
      <c r="H29" s="231"/>
      <c r="I29" s="232" t="str">
        <f t="shared" si="0"/>
        <v>CAC Scenario C</v>
      </c>
      <c r="J29" s="299">
        <f>Planning!C89</f>
        <v>0</v>
      </c>
      <c r="K29" s="299">
        <f>Planning!D89</f>
        <v>138783317.96634665</v>
      </c>
      <c r="L29" s="299">
        <f>Planning!E89</f>
        <v>0</v>
      </c>
      <c r="M29" s="299">
        <f>Planning!F89</f>
        <v>0</v>
      </c>
      <c r="N29" s="299">
        <f>Planning!G89</f>
        <v>0</v>
      </c>
      <c r="O29" s="299">
        <f>Planning!H89</f>
        <v>37187263.171689659</v>
      </c>
      <c r="P29" s="299">
        <f>Planning!I89</f>
        <v>102521276.91443264</v>
      </c>
      <c r="Q29" s="299">
        <f>Planning!J89</f>
        <v>0</v>
      </c>
      <c r="R29" s="299">
        <f>Planning!K89</f>
        <v>0</v>
      </c>
      <c r="S29" s="299">
        <f>Planning!L89</f>
        <v>0</v>
      </c>
      <c r="T29" s="299">
        <f t="shared" si="1"/>
        <v>277675094.98115999</v>
      </c>
      <c r="U29" s="94"/>
      <c r="V29" s="51"/>
      <c r="W29" s="51"/>
    </row>
    <row r="30" spans="1:23" x14ac:dyDescent="0.25">
      <c r="C30" s="73" t="str">
        <f>Planning!C151</f>
        <v>CAC Scenario D</v>
      </c>
      <c r="D30" s="20">
        <f>Planning!D151</f>
        <v>-62337.163094229996</v>
      </c>
      <c r="E30" s="20">
        <f>Planning!E151</f>
        <v>27285.97480429709</v>
      </c>
      <c r="F30" s="20">
        <f>Planning!F151</f>
        <v>-92213.112222775817</v>
      </c>
      <c r="G30" s="20">
        <f>Planning!G151</f>
        <v>-2.2647641599178314E-3</v>
      </c>
      <c r="H30" s="231"/>
      <c r="I30" s="232" t="str">
        <f t="shared" si="0"/>
        <v>CAC Scenario D</v>
      </c>
      <c r="J30" s="299">
        <f>Planning!C90</f>
        <v>0</v>
      </c>
      <c r="K30" s="299">
        <f>Planning!D90</f>
        <v>138783317.96634665</v>
      </c>
      <c r="L30" s="299">
        <f>Planning!E90</f>
        <v>0</v>
      </c>
      <c r="M30" s="299">
        <f>Planning!F90</f>
        <v>0</v>
      </c>
      <c r="N30" s="299">
        <f>Planning!G90</f>
        <v>0</v>
      </c>
      <c r="O30" s="299">
        <f>Planning!H90</f>
        <v>72804145.617365435</v>
      </c>
      <c r="P30" s="299">
        <f>Planning!I90</f>
        <v>66904394.468756877</v>
      </c>
      <c r="Q30" s="299">
        <f>Planning!J90</f>
        <v>0</v>
      </c>
      <c r="R30" s="299">
        <f>Planning!K90</f>
        <v>0</v>
      </c>
      <c r="S30" s="299">
        <f>Planning!L90</f>
        <v>0</v>
      </c>
      <c r="T30" s="299">
        <f t="shared" si="1"/>
        <v>278364593.74969149</v>
      </c>
      <c r="U30" s="94"/>
      <c r="V30" s="51"/>
      <c r="W30" s="51"/>
    </row>
    <row r="31" spans="1:23" x14ac:dyDescent="0.25">
      <c r="C31" s="266"/>
      <c r="D31" s="530" t="s">
        <v>160</v>
      </c>
      <c r="E31" s="531"/>
      <c r="F31" s="531"/>
      <c r="G31" s="531"/>
      <c r="H31" s="531"/>
      <c r="I31" s="531"/>
      <c r="J31" s="531"/>
      <c r="K31" s="531"/>
      <c r="L31" s="531"/>
      <c r="M31" s="531"/>
      <c r="N31" s="531"/>
      <c r="O31" s="531"/>
      <c r="P31" s="531"/>
      <c r="Q31" s="531"/>
      <c r="R31" s="531"/>
      <c r="S31" s="531"/>
      <c r="T31" s="532"/>
      <c r="U31" s="94"/>
      <c r="V31" s="51"/>
      <c r="W31" s="51"/>
    </row>
    <row r="32" spans="1:23" ht="15" customHeight="1" x14ac:dyDescent="0.25">
      <c r="C32" s="93"/>
      <c r="D32" s="521" t="str">
        <f>Planning!D154</f>
        <v>1.   The identification of Beneficiaries of a project, the dollar amount of benefits allocated to each Beneficiary, and the timing of those benefits are based upon the assumptions built into the models used to produce the allocations.  Actuals may vary from assumptions substantially.</v>
      </c>
      <c r="E32" s="522"/>
      <c r="F32" s="522"/>
      <c r="G32" s="522"/>
      <c r="H32" s="522"/>
      <c r="I32" s="522"/>
      <c r="J32" s="522"/>
      <c r="K32" s="522"/>
      <c r="L32" s="522"/>
      <c r="M32" s="522"/>
      <c r="N32" s="522"/>
      <c r="O32" s="522"/>
      <c r="P32" s="522"/>
      <c r="Q32" s="522"/>
      <c r="R32" s="522"/>
      <c r="S32" s="522"/>
      <c r="T32" s="523"/>
      <c r="U32" s="94"/>
      <c r="V32" s="51"/>
      <c r="W32" s="51"/>
    </row>
    <row r="33" spans="2:23" ht="15" customHeight="1" x14ac:dyDescent="0.25">
      <c r="C33" s="93"/>
      <c r="D33" s="96" t="str">
        <f>Planning!D155</f>
        <v xml:space="preserve">2.    Each Beneficiary that is allocated a portion of a project's cost is assumed to receive a corresponding quantity of Ownership Rights or Ownership Like Rights in the project in order to realize the benefits that are assumed to be derived by the project. </v>
      </c>
      <c r="F33" s="503"/>
      <c r="G33" s="503"/>
      <c r="H33" s="503"/>
      <c r="I33" s="503"/>
      <c r="J33" s="503"/>
      <c r="K33" s="503"/>
      <c r="L33" s="503"/>
      <c r="M33" s="503"/>
      <c r="N33" s="503"/>
      <c r="O33" s="503"/>
      <c r="P33" s="503"/>
      <c r="Q33" s="503"/>
      <c r="R33" s="503"/>
      <c r="S33" s="503"/>
      <c r="T33" s="504"/>
      <c r="U33" s="94"/>
      <c r="V33" s="51"/>
      <c r="W33" s="51"/>
    </row>
    <row r="34" spans="2:23" s="51" customFormat="1" ht="15" customHeight="1" x14ac:dyDescent="0.25">
      <c r="C34" s="93"/>
      <c r="D34" s="524" t="str">
        <f>Planning!D156</f>
        <v>3.    The allocation of benefits to a Beneficiary is not intended to prejudice in any way the characterization of the costs or the further allocation of the costs by the Beneficiary as may be proscribed or allowed by Federal law, FERC order, or applicable law.</v>
      </c>
      <c r="E34" s="525"/>
      <c r="F34" s="525"/>
      <c r="G34" s="525"/>
      <c r="H34" s="525"/>
      <c r="I34" s="525"/>
      <c r="J34" s="525"/>
      <c r="K34" s="525"/>
      <c r="L34" s="525"/>
      <c r="M34" s="525"/>
      <c r="N34" s="525"/>
      <c r="O34" s="525"/>
      <c r="P34" s="525"/>
      <c r="Q34" s="525"/>
      <c r="R34" s="525"/>
      <c r="S34" s="525"/>
      <c r="T34" s="526"/>
      <c r="U34" s="94"/>
    </row>
    <row r="35" spans="2:23" s="51" customFormat="1" x14ac:dyDescent="0.25">
      <c r="C35" s="93"/>
      <c r="D35" s="228"/>
      <c r="E35" s="228"/>
      <c r="F35" s="228"/>
      <c r="G35" s="228"/>
      <c r="H35" s="23"/>
      <c r="I35" s="494"/>
      <c r="J35" s="21"/>
      <c r="T35" s="100"/>
      <c r="U35" s="94"/>
    </row>
    <row r="36" spans="2:23" s="51" customFormat="1" x14ac:dyDescent="0.25">
      <c r="C36" s="175"/>
      <c r="D36" s="515" t="str">
        <f>Planning!D158</f>
        <v>Loss Beneficiaries</v>
      </c>
      <c r="E36" s="516">
        <f>Planning!E158</f>
        <v>0</v>
      </c>
      <c r="F36" s="516">
        <f>Planning!F158</f>
        <v>0</v>
      </c>
      <c r="G36" s="517">
        <f>Planning!G158</f>
        <v>0</v>
      </c>
      <c r="H36" s="144"/>
      <c r="J36" s="512" t="str">
        <f>Planning!I158</f>
        <v>Capital Cost Beneficiaries</v>
      </c>
      <c r="K36" s="513"/>
      <c r="L36" s="513"/>
      <c r="M36" s="513"/>
      <c r="N36" s="513"/>
      <c r="O36" s="513"/>
      <c r="P36" s="513"/>
      <c r="Q36" s="513"/>
      <c r="R36" s="513"/>
      <c r="S36" s="514"/>
    </row>
    <row r="37" spans="2:23" s="365" customFormat="1" ht="62.25" customHeight="1" x14ac:dyDescent="0.25">
      <c r="C37" s="426"/>
      <c r="D37" s="427" t="str">
        <f>Planning!D159</f>
        <v>IPC TSP</v>
      </c>
      <c r="E37" s="427" t="str">
        <f>Planning!E159</f>
        <v>NWE TSP</v>
      </c>
      <c r="F37" s="427" t="str">
        <f>Planning!F159</f>
        <v>PAC TSP</v>
      </c>
      <c r="G37" s="427" t="str">
        <f>Planning!G159</f>
        <v>PGE TSP</v>
      </c>
      <c r="H37" s="428"/>
      <c r="J37" s="197" t="str">
        <f>J25</f>
        <v>NA</v>
      </c>
      <c r="K37" s="197" t="str">
        <f t="shared" ref="K37:S37" si="2">K25</f>
        <v>Q6 Incremental PAC BAA LSEs Load</v>
      </c>
      <c r="L37" s="197" t="str">
        <f t="shared" si="2"/>
        <v>NA</v>
      </c>
      <c r="M37" s="197" t="str">
        <f t="shared" si="2"/>
        <v>NA</v>
      </c>
      <c r="N37" s="197" t="str">
        <f t="shared" si="2"/>
        <v>NA</v>
      </c>
      <c r="O37" s="197" t="str">
        <f t="shared" si="2"/>
        <v>Q6 WY Wind (New)</v>
      </c>
      <c r="P37" s="197" t="str">
        <f t="shared" si="2"/>
        <v>Q6 Incremental WY Gen (Existing)</v>
      </c>
      <c r="Q37" s="197" t="str">
        <f t="shared" si="2"/>
        <v>NA</v>
      </c>
      <c r="R37" s="197" t="str">
        <f t="shared" si="2"/>
        <v>NA</v>
      </c>
      <c r="S37" s="197" t="str">
        <f t="shared" si="2"/>
        <v>NA</v>
      </c>
    </row>
    <row r="38" spans="2:23" s="51" customFormat="1" ht="48.75" customHeight="1" x14ac:dyDescent="0.25">
      <c r="C38" s="175"/>
      <c r="D38" s="197" t="str">
        <f>Planning!D160</f>
        <v>Transmission Service Provider</v>
      </c>
      <c r="E38" s="197" t="str">
        <f>Planning!E160</f>
        <v>Transmission Service Provider</v>
      </c>
      <c r="F38" s="197" t="str">
        <f>Planning!F160</f>
        <v>Transmission Service Provider</v>
      </c>
      <c r="G38" s="197" t="str">
        <f>Planning!G160</f>
        <v>Transmission Service Provider</v>
      </c>
      <c r="H38" s="144"/>
      <c r="I38" s="144"/>
      <c r="J38" s="144"/>
      <c r="K38" s="144"/>
      <c r="L38" s="144"/>
      <c r="M38" s="144"/>
      <c r="N38" s="144"/>
      <c r="O38" s="144"/>
      <c r="P38" s="144"/>
      <c r="Q38" s="144"/>
      <c r="R38" s="144"/>
      <c r="S38" s="144"/>
      <c r="T38" s="144"/>
    </row>
    <row r="39" spans="2:23" s="51" customFormat="1" x14ac:dyDescent="0.25">
      <c r="C39" s="76"/>
      <c r="D39" s="76"/>
      <c r="E39" s="76"/>
      <c r="F39" s="76"/>
      <c r="G39" s="76"/>
      <c r="H39" s="76"/>
      <c r="I39" s="70"/>
      <c r="J39" s="21"/>
      <c r="K39" s="21"/>
      <c r="L39" s="21"/>
      <c r="M39" s="21"/>
      <c r="N39" s="21"/>
      <c r="O39" s="21"/>
      <c r="P39" s="21"/>
      <c r="Q39" s="21"/>
    </row>
    <row r="40" spans="2:23" s="51" customFormat="1" x14ac:dyDescent="0.25">
      <c r="B40" s="74"/>
      <c r="C40" s="74"/>
      <c r="D40" s="74"/>
      <c r="E40" s="74"/>
      <c r="F40" s="74"/>
      <c r="G40" s="74"/>
      <c r="H40" s="74"/>
      <c r="I40" s="74"/>
      <c r="J40" s="21"/>
      <c r="K40" s="21"/>
      <c r="L40" s="21"/>
      <c r="M40" s="21"/>
      <c r="N40" s="21"/>
      <c r="O40" s="21"/>
      <c r="P40" s="21"/>
      <c r="Q40" s="21"/>
    </row>
    <row r="41" spans="2:23" x14ac:dyDescent="0.25">
      <c r="C41" s="28"/>
      <c r="D41" s="8"/>
      <c r="E41" s="8"/>
      <c r="F41" s="8"/>
      <c r="G41" s="8"/>
      <c r="H41" s="8"/>
    </row>
    <row r="42" spans="2:23" ht="27" hidden="1" customHeight="1" x14ac:dyDescent="0.25">
      <c r="B42" s="562" t="s">
        <v>18</v>
      </c>
      <c r="C42" s="562"/>
      <c r="D42" s="562"/>
      <c r="E42" s="562"/>
      <c r="F42" s="562"/>
      <c r="G42" s="562"/>
      <c r="H42" s="562"/>
      <c r="I42" s="562"/>
      <c r="J42" s="562"/>
      <c r="K42" s="562"/>
      <c r="L42" s="562"/>
      <c r="M42" s="562"/>
      <c r="N42" s="562"/>
      <c r="O42" s="562"/>
      <c r="P42" s="562"/>
      <c r="Q42" s="562"/>
      <c r="R42" s="562"/>
      <c r="S42" s="562"/>
      <c r="T42" s="562"/>
      <c r="U42" s="562"/>
      <c r="V42" s="562"/>
    </row>
    <row r="43" spans="2:23" hidden="1" x14ac:dyDescent="0.25">
      <c r="B43" s="17"/>
      <c r="C43" s="18">
        <f>C25</f>
        <v>0</v>
      </c>
      <c r="D43" s="18" t="str">
        <f>D25</f>
        <v>IPC TSP</v>
      </c>
      <c r="E43" s="18" t="str">
        <f>E25</f>
        <v>NWE TSP</v>
      </c>
      <c r="F43" s="18" t="e">
        <f>#REF!</f>
        <v>#REF!</v>
      </c>
      <c r="G43" s="18" t="str">
        <f>F25</f>
        <v>PAC TSP</v>
      </c>
      <c r="H43" s="18" t="str">
        <f>G25</f>
        <v>PGE TSP</v>
      </c>
      <c r="I43" s="18" t="s">
        <v>17</v>
      </c>
      <c r="J43" s="18"/>
      <c r="K43" s="18"/>
      <c r="L43" s="18"/>
      <c r="M43" s="18"/>
      <c r="N43" s="18"/>
      <c r="O43" s="18"/>
      <c r="P43" s="18"/>
      <c r="Q43" s="18"/>
      <c r="R43" s="17"/>
      <c r="S43" s="17"/>
      <c r="T43" s="17"/>
      <c r="U43" s="17"/>
      <c r="V43" s="17"/>
    </row>
    <row r="44" spans="2:23" hidden="1" x14ac:dyDescent="0.25">
      <c r="B44" s="17"/>
      <c r="C44" s="19" t="str">
        <f>C26</f>
        <v>DFRTP</v>
      </c>
      <c r="D44" s="10" t="str">
        <f t="shared" ref="D44:E48" si="3">IF(D26&lt;=0,"",D26)</f>
        <v/>
      </c>
      <c r="E44" s="10" t="str">
        <f t="shared" si="3"/>
        <v/>
      </c>
      <c r="F44" s="10" t="e">
        <f>IF(#REF!&lt;=0,"",#REF!)</f>
        <v>#REF!</v>
      </c>
      <c r="G44" s="10" t="str">
        <f t="shared" ref="G44:H48" si="4">IF(F26&lt;=0,"",F26)</f>
        <v/>
      </c>
      <c r="H44" s="10">
        <f t="shared" si="4"/>
        <v>84846</v>
      </c>
      <c r="I44" s="10" t="e">
        <f>SUM(D44:H44)</f>
        <v>#REF!</v>
      </c>
      <c r="J44" s="10"/>
      <c r="K44" s="10"/>
      <c r="L44" s="10"/>
      <c r="M44" s="10"/>
      <c r="N44" s="10"/>
      <c r="O44" s="10"/>
      <c r="P44" s="10"/>
      <c r="Q44" s="10"/>
      <c r="R44" s="17"/>
      <c r="S44" s="17"/>
      <c r="T44" s="17"/>
      <c r="U44" s="17"/>
      <c r="V44" s="17"/>
    </row>
    <row r="45" spans="2:23" hidden="1" x14ac:dyDescent="0.25">
      <c r="B45" s="17"/>
      <c r="C45" s="19" t="str">
        <f>C27</f>
        <v>CAC Scenario A</v>
      </c>
      <c r="D45" s="10" t="str">
        <f t="shared" si="3"/>
        <v/>
      </c>
      <c r="E45" s="10" t="str">
        <f t="shared" si="3"/>
        <v/>
      </c>
      <c r="F45" s="10" t="e">
        <f>IF(#REF!&lt;=0,"",#REF!)</f>
        <v>#REF!</v>
      </c>
      <c r="G45" s="10" t="str">
        <f t="shared" si="4"/>
        <v/>
      </c>
      <c r="H45" s="10">
        <f t="shared" si="4"/>
        <v>79959.62255824171</v>
      </c>
      <c r="I45" s="10" t="e">
        <f>SUM(D45:H45)</f>
        <v>#REF!</v>
      </c>
      <c r="J45" s="10"/>
      <c r="K45" s="10"/>
      <c r="L45" s="10"/>
      <c r="M45" s="10"/>
      <c r="N45" s="10"/>
      <c r="O45" s="10"/>
      <c r="P45" s="10"/>
      <c r="Q45" s="10"/>
      <c r="R45" s="17"/>
      <c r="S45" s="17"/>
      <c r="T45" s="17"/>
      <c r="U45" s="17"/>
      <c r="V45" s="17"/>
    </row>
    <row r="46" spans="2:23" hidden="1" x14ac:dyDescent="0.25">
      <c r="B46" s="17"/>
      <c r="C46" s="19" t="str">
        <f>C28</f>
        <v>CAC Scenario B</v>
      </c>
      <c r="D46" s="10" t="str">
        <f t="shared" si="3"/>
        <v/>
      </c>
      <c r="E46" s="10" t="str">
        <f t="shared" si="3"/>
        <v/>
      </c>
      <c r="F46" s="10" t="e">
        <f>IF(#REF!&lt;=0,"",#REF!)</f>
        <v>#REF!</v>
      </c>
      <c r="G46" s="10" t="str">
        <f t="shared" si="4"/>
        <v/>
      </c>
      <c r="H46" s="10">
        <f t="shared" si="4"/>
        <v>79959.300169384107</v>
      </c>
      <c r="I46" s="10" t="e">
        <f>SUM(D46:H46)</f>
        <v>#REF!</v>
      </c>
      <c r="J46" s="10"/>
      <c r="K46" s="10"/>
      <c r="L46" s="10"/>
      <c r="M46" s="10"/>
      <c r="N46" s="10"/>
      <c r="O46" s="10"/>
      <c r="P46" s="10"/>
      <c r="Q46" s="10"/>
      <c r="R46" s="17"/>
      <c r="S46" s="17"/>
      <c r="T46" s="17"/>
      <c r="U46" s="17"/>
      <c r="V46" s="17"/>
    </row>
    <row r="47" spans="2:23" hidden="1" x14ac:dyDescent="0.25">
      <c r="B47" s="17"/>
      <c r="C47" s="19" t="str">
        <f>C29</f>
        <v>CAC Scenario C</v>
      </c>
      <c r="D47" s="10" t="str">
        <f t="shared" si="3"/>
        <v/>
      </c>
      <c r="E47" s="10" t="str">
        <f t="shared" si="3"/>
        <v/>
      </c>
      <c r="F47" s="10" t="e">
        <f>IF(#REF!&lt;=0,"",#REF!)</f>
        <v>#REF!</v>
      </c>
      <c r="G47" s="10" t="str">
        <f t="shared" si="4"/>
        <v/>
      </c>
      <c r="H47" s="10">
        <f t="shared" si="4"/>
        <v>53306.313472522423</v>
      </c>
      <c r="I47" s="10" t="e">
        <f>SUM(D47:H47)</f>
        <v>#REF!</v>
      </c>
      <c r="J47" s="10"/>
      <c r="K47" s="10"/>
      <c r="L47" s="10"/>
      <c r="M47" s="10"/>
      <c r="N47" s="10"/>
      <c r="O47" s="10"/>
      <c r="P47" s="10"/>
      <c r="Q47" s="10"/>
      <c r="R47" s="17"/>
      <c r="S47" s="17"/>
      <c r="T47" s="17"/>
      <c r="U47" s="17"/>
      <c r="V47" s="17"/>
    </row>
    <row r="48" spans="2:23" hidden="1" x14ac:dyDescent="0.25">
      <c r="B48" s="17"/>
      <c r="C48" s="19" t="str">
        <f>C30</f>
        <v>CAC Scenario D</v>
      </c>
      <c r="D48" s="10" t="str">
        <f t="shared" si="3"/>
        <v/>
      </c>
      <c r="E48" s="10">
        <f t="shared" si="3"/>
        <v>27285.97480429709</v>
      </c>
      <c r="F48" s="10" t="e">
        <f>IF(#REF!&lt;=0,"",#REF!)</f>
        <v>#REF!</v>
      </c>
      <c r="G48" s="10" t="str">
        <f t="shared" si="4"/>
        <v/>
      </c>
      <c r="H48" s="10" t="str">
        <f t="shared" si="4"/>
        <v/>
      </c>
      <c r="I48" s="10" t="e">
        <f>SUM(D48:H48)</f>
        <v>#REF!</v>
      </c>
      <c r="J48" s="10"/>
      <c r="K48" s="10"/>
      <c r="L48" s="10"/>
      <c r="M48" s="10"/>
      <c r="N48" s="10"/>
      <c r="O48" s="10"/>
      <c r="P48" s="10"/>
      <c r="Q48" s="10"/>
      <c r="R48" s="17"/>
      <c r="S48" s="17"/>
      <c r="T48" s="17"/>
      <c r="U48" s="17"/>
      <c r="V48" s="17"/>
    </row>
    <row r="49" spans="1:22" hidden="1" x14ac:dyDescent="0.25"/>
    <row r="50" spans="1:22" x14ac:dyDescent="0.25">
      <c r="A50" s="14" t="s">
        <v>15</v>
      </c>
    </row>
    <row r="51" spans="1:22" s="3" customFormat="1" ht="44.25" customHeight="1" x14ac:dyDescent="0.25">
      <c r="B51" s="563" t="s">
        <v>26</v>
      </c>
      <c r="C51" s="542"/>
      <c r="D51" s="542"/>
      <c r="E51" s="542"/>
      <c r="F51" s="542"/>
      <c r="G51" s="542"/>
      <c r="H51" s="542"/>
      <c r="I51" s="543"/>
    </row>
    <row r="52" spans="1:22" s="15" customFormat="1" ht="38.25" customHeight="1" x14ac:dyDescent="0.25">
      <c r="A52" s="36"/>
      <c r="B52" s="59" t="s">
        <v>49</v>
      </c>
      <c r="C52" s="540" t="s">
        <v>36</v>
      </c>
      <c r="D52" s="540"/>
      <c r="E52" s="540"/>
      <c r="F52" s="540"/>
      <c r="G52" s="540"/>
      <c r="H52" s="540"/>
      <c r="I52" s="541"/>
      <c r="J52" s="31"/>
      <c r="K52" s="31"/>
      <c r="L52" s="31"/>
      <c r="M52" s="31"/>
      <c r="N52" s="31"/>
      <c r="O52" s="31"/>
      <c r="P52" s="31"/>
      <c r="Q52" s="31"/>
      <c r="R52" s="31"/>
      <c r="S52" s="31"/>
      <c r="T52" s="31"/>
      <c r="U52" s="31"/>
      <c r="V52" s="31"/>
    </row>
    <row r="53" spans="1:22" s="26" customFormat="1" ht="70.5" customHeight="1" x14ac:dyDescent="0.25">
      <c r="C53" s="30"/>
      <c r="D53" s="35" t="str">
        <f t="shared" ref="D53:D58" si="5">T25</f>
        <v>Capital Cost + Loss + Reserve Benefits</v>
      </c>
      <c r="E53" s="35" t="s">
        <v>27</v>
      </c>
      <c r="F53" s="35" t="s">
        <v>28</v>
      </c>
      <c r="G53" s="35" t="s">
        <v>29</v>
      </c>
      <c r="H53" s="30"/>
      <c r="I53" s="30"/>
      <c r="J53" s="31"/>
      <c r="K53" s="31"/>
      <c r="L53" s="31"/>
      <c r="M53" s="31"/>
      <c r="N53" s="31"/>
      <c r="O53" s="31"/>
      <c r="P53" s="31"/>
      <c r="Q53" s="31"/>
      <c r="R53" s="31"/>
      <c r="S53" s="31"/>
      <c r="T53" s="31"/>
      <c r="U53" s="31"/>
      <c r="V53" s="31"/>
    </row>
    <row r="54" spans="1:22" s="26" customFormat="1" ht="15" customHeight="1" x14ac:dyDescent="0.25">
      <c r="C54" s="87" t="str">
        <f>C26</f>
        <v>DFRTP</v>
      </c>
      <c r="D54" s="160">
        <f t="shared" si="5"/>
        <v>277481269.05246896</v>
      </c>
      <c r="G54" s="34" t="str">
        <f>IF(AND(D54&lt;=$F$55,D54&gt;=$E$55),"Yes","No")</f>
        <v>Yes</v>
      </c>
      <c r="H54" s="30"/>
      <c r="I54" s="30"/>
      <c r="J54" s="31"/>
      <c r="K54" s="31"/>
      <c r="L54" s="31"/>
      <c r="M54" s="31"/>
      <c r="N54" s="31"/>
      <c r="O54" s="31"/>
      <c r="P54" s="31"/>
      <c r="Q54" s="31"/>
      <c r="R54" s="31"/>
      <c r="S54" s="31"/>
      <c r="T54" s="31"/>
      <c r="U54" s="31"/>
      <c r="V54" s="31"/>
    </row>
    <row r="55" spans="1:22" s="26" customFormat="1" ht="15" customHeight="1" x14ac:dyDescent="0.25">
      <c r="C55" s="33" t="str">
        <f>C27</f>
        <v>CAC Scenario A</v>
      </c>
      <c r="D55" s="161">
        <f t="shared" si="5"/>
        <v>276847156.44801426</v>
      </c>
      <c r="E55" s="185">
        <f>D59*0.5</f>
        <v>138773186.99900016</v>
      </c>
      <c r="F55" s="186">
        <f>D59*1.5</f>
        <v>416319560.99700046</v>
      </c>
      <c r="G55" s="34" t="str">
        <f>IF(AND(D55&lt;=$F$55,D55&gt;=$E$55),"Yes","No")</f>
        <v>Yes</v>
      </c>
      <c r="H55" s="30"/>
      <c r="I55" s="30"/>
      <c r="J55" s="31"/>
      <c r="K55" s="31"/>
      <c r="L55" s="31"/>
      <c r="M55" s="31"/>
      <c r="N55" s="31"/>
      <c r="O55" s="31"/>
      <c r="P55" s="31"/>
      <c r="Q55" s="31"/>
      <c r="R55" s="31"/>
      <c r="S55" s="31"/>
      <c r="T55" s="31"/>
      <c r="U55" s="31"/>
      <c r="V55" s="31"/>
    </row>
    <row r="56" spans="1:22" s="26" customFormat="1" ht="15" customHeight="1" x14ac:dyDescent="0.25">
      <c r="C56" s="33" t="str">
        <f>C28</f>
        <v>CAC Scenario B</v>
      </c>
      <c r="D56" s="161">
        <f t="shared" si="5"/>
        <v>277298650.81313562</v>
      </c>
      <c r="E56" s="185"/>
      <c r="F56" s="186"/>
      <c r="G56" s="34" t="str">
        <f>IF(AND(D56&lt;=$F$55,D56&gt;=$E$55),"Yes","No")</f>
        <v>Yes</v>
      </c>
      <c r="H56" s="30"/>
      <c r="I56" s="30"/>
      <c r="J56" s="31"/>
      <c r="K56" s="31"/>
      <c r="L56" s="31"/>
      <c r="M56" s="31"/>
      <c r="N56" s="31"/>
      <c r="O56" s="31"/>
      <c r="P56" s="31"/>
      <c r="Q56" s="31"/>
      <c r="R56" s="31"/>
      <c r="S56" s="31"/>
      <c r="T56" s="31"/>
      <c r="U56" s="31"/>
      <c r="V56" s="31"/>
    </row>
    <row r="57" spans="1:22" s="26" customFormat="1" ht="15" customHeight="1" x14ac:dyDescent="0.25">
      <c r="C57" s="33" t="str">
        <f>C29</f>
        <v>CAC Scenario C</v>
      </c>
      <c r="D57" s="161">
        <f t="shared" si="5"/>
        <v>277675094.98115999</v>
      </c>
      <c r="E57" s="185"/>
      <c r="F57" s="186"/>
      <c r="G57" s="34" t="str">
        <f>IF(AND(D57&lt;=$F$55,D57&gt;=$E$55),"Yes","No")</f>
        <v>Yes</v>
      </c>
      <c r="H57" s="30"/>
      <c r="I57" s="30"/>
      <c r="J57" s="31"/>
      <c r="K57" s="31"/>
      <c r="L57" s="31"/>
      <c r="M57" s="31"/>
      <c r="N57" s="31"/>
      <c r="O57" s="31"/>
      <c r="P57" s="31"/>
      <c r="Q57" s="31"/>
      <c r="R57" s="31"/>
      <c r="S57" s="31"/>
      <c r="T57" s="31"/>
      <c r="U57" s="31"/>
      <c r="V57" s="31"/>
    </row>
    <row r="58" spans="1:22" s="26" customFormat="1" ht="15" customHeight="1" x14ac:dyDescent="0.25">
      <c r="C58" s="33" t="str">
        <f>C30</f>
        <v>CAC Scenario D</v>
      </c>
      <c r="D58" s="161">
        <f t="shared" si="5"/>
        <v>278364593.74969149</v>
      </c>
      <c r="E58" s="185"/>
      <c r="F58" s="186"/>
      <c r="G58" s="34" t="str">
        <f>IF(AND(D58&lt;=$F$55,D58&gt;=$E$55),"Yes","No")</f>
        <v>Yes</v>
      </c>
      <c r="H58" s="30"/>
      <c r="I58" s="30"/>
      <c r="J58" s="31"/>
      <c r="K58" s="31"/>
      <c r="L58" s="31"/>
      <c r="M58" s="31"/>
      <c r="N58" s="31"/>
      <c r="O58" s="31"/>
      <c r="P58" s="31"/>
      <c r="Q58" s="31"/>
      <c r="R58" s="31"/>
      <c r="S58" s="31"/>
      <c r="T58" s="31"/>
      <c r="U58" s="31"/>
      <c r="V58" s="31"/>
    </row>
    <row r="59" spans="1:22" s="26" customFormat="1" ht="15" customHeight="1" x14ac:dyDescent="0.25">
      <c r="C59" s="37" t="s">
        <v>33</v>
      </c>
      <c r="D59" s="57">
        <f>AVERAGE(D55:D58)</f>
        <v>277546373.99800032</v>
      </c>
      <c r="E59" s="30"/>
      <c r="F59" s="30"/>
      <c r="G59" s="30"/>
      <c r="H59" s="30"/>
      <c r="I59" s="30"/>
      <c r="J59" s="31"/>
      <c r="K59" s="31"/>
      <c r="L59" s="31"/>
      <c r="M59" s="31"/>
      <c r="N59" s="31"/>
      <c r="O59" s="31"/>
      <c r="P59" s="31"/>
      <c r="Q59" s="31"/>
      <c r="R59" s="31"/>
      <c r="S59" s="31"/>
      <c r="T59" s="31"/>
      <c r="U59" s="31"/>
      <c r="V59" s="31"/>
    </row>
    <row r="60" spans="1:22" s="26" customFormat="1" ht="15" customHeight="1" x14ac:dyDescent="0.25">
      <c r="B60" s="64"/>
      <c r="C60" s="65"/>
      <c r="D60" s="64"/>
      <c r="E60" s="66"/>
      <c r="F60" s="66"/>
      <c r="G60" s="66"/>
      <c r="H60" s="66"/>
      <c r="I60" s="66"/>
      <c r="J60" s="31"/>
      <c r="K60" s="31"/>
      <c r="L60" s="31"/>
      <c r="M60" s="31"/>
      <c r="N60" s="31"/>
      <c r="O60" s="31"/>
      <c r="P60" s="31"/>
      <c r="Q60" s="31"/>
      <c r="R60" s="31"/>
      <c r="S60" s="31"/>
      <c r="T60" s="31"/>
      <c r="U60" s="31"/>
      <c r="V60" s="31"/>
    </row>
    <row r="61" spans="1:22" s="26" customFormat="1" ht="15" customHeight="1" x14ac:dyDescent="0.25">
      <c r="C61" s="31" t="s">
        <v>37</v>
      </c>
      <c r="D61" s="30"/>
      <c r="E61" s="30"/>
      <c r="F61" s="30"/>
      <c r="G61" s="30"/>
      <c r="H61" s="30"/>
      <c r="I61" s="30"/>
      <c r="J61" s="31"/>
      <c r="K61" s="31"/>
      <c r="L61" s="31"/>
      <c r="M61" s="31"/>
      <c r="N61" s="31"/>
      <c r="O61" s="31"/>
      <c r="P61" s="31"/>
      <c r="Q61" s="31"/>
      <c r="R61" s="31"/>
      <c r="S61" s="31"/>
      <c r="T61" s="31"/>
      <c r="U61" s="31"/>
      <c r="V61" s="31"/>
    </row>
    <row r="62" spans="1:22" s="26" customFormat="1" ht="15" customHeight="1" x14ac:dyDescent="0.25">
      <c r="D62" s="538" t="s">
        <v>76</v>
      </c>
      <c r="E62" s="538"/>
      <c r="F62" s="538"/>
      <c r="G62" s="538"/>
      <c r="H62" s="538"/>
      <c r="I62" s="538"/>
      <c r="J62" s="538"/>
      <c r="K62" s="538"/>
      <c r="L62" s="538"/>
      <c r="M62" s="538"/>
      <c r="N62" s="538"/>
      <c r="O62" s="538"/>
      <c r="P62" s="538"/>
      <c r="Q62" s="538"/>
      <c r="R62" s="538"/>
      <c r="S62" s="538"/>
      <c r="T62" s="538"/>
      <c r="U62" s="31"/>
      <c r="V62" s="31"/>
    </row>
    <row r="63" spans="1:22" s="26" customFormat="1" ht="15" customHeight="1" x14ac:dyDescent="0.25">
      <c r="C63" s="30"/>
      <c r="D63" s="31"/>
      <c r="E63" s="30"/>
      <c r="F63" s="30"/>
      <c r="G63" s="30"/>
      <c r="H63" s="30"/>
      <c r="J63" s="31"/>
      <c r="K63" s="31"/>
      <c r="L63" s="31"/>
      <c r="M63" s="31"/>
      <c r="N63" s="31"/>
      <c r="O63" s="31"/>
      <c r="P63" s="31"/>
      <c r="Q63" s="31"/>
      <c r="R63" s="31"/>
      <c r="S63" s="31"/>
      <c r="T63" s="34" t="s">
        <v>30</v>
      </c>
      <c r="U63" s="31"/>
      <c r="V63" s="31"/>
    </row>
    <row r="64" spans="1:22" s="26" customFormat="1" ht="15" customHeight="1" x14ac:dyDescent="0.25">
      <c r="C64" s="30"/>
      <c r="D64" s="30"/>
      <c r="E64" s="30"/>
      <c r="F64" s="30"/>
      <c r="G64" s="30"/>
      <c r="H64" s="30"/>
      <c r="J64" s="31"/>
      <c r="K64" s="31"/>
      <c r="L64" s="31"/>
      <c r="M64" s="31"/>
      <c r="N64" s="31"/>
      <c r="O64" s="31"/>
      <c r="P64" s="31"/>
      <c r="Q64" s="31"/>
      <c r="R64" s="31"/>
      <c r="S64" s="31"/>
      <c r="T64" s="34" t="s">
        <v>31</v>
      </c>
      <c r="U64" s="31"/>
      <c r="V64" s="31"/>
    </row>
    <row r="65" spans="2:32" s="26" customFormat="1" ht="15" customHeight="1" x14ac:dyDescent="0.25">
      <c r="B65" s="506" t="s">
        <v>43</v>
      </c>
      <c r="C65" s="30"/>
      <c r="J65" s="31"/>
      <c r="K65" s="31"/>
      <c r="L65" s="31"/>
      <c r="M65" s="31"/>
      <c r="N65" s="31"/>
      <c r="O65" s="31"/>
      <c r="P65" s="31"/>
      <c r="Q65" s="31"/>
      <c r="R65" s="31"/>
      <c r="S65" s="31"/>
      <c r="T65" s="32" t="s">
        <v>32</v>
      </c>
      <c r="U65" s="31"/>
      <c r="V65" s="31"/>
    </row>
    <row r="66" spans="2:32" s="338" customFormat="1" ht="45" x14ac:dyDescent="0.25">
      <c r="B66" s="339"/>
      <c r="C66" s="339"/>
      <c r="D66" s="339" t="str">
        <f t="shared" ref="D66:G67" si="6">D25</f>
        <v>IPC TSP</v>
      </c>
      <c r="E66" s="339" t="str">
        <f t="shared" si="6"/>
        <v>NWE TSP</v>
      </c>
      <c r="F66" s="339" t="str">
        <f t="shared" si="6"/>
        <v>PAC TSP</v>
      </c>
      <c r="G66" s="339" t="str">
        <f t="shared" si="6"/>
        <v>PGE TSP</v>
      </c>
      <c r="H66" s="339"/>
      <c r="J66" s="340" t="str">
        <f t="shared" ref="J66:T66" si="7">J25</f>
        <v>NA</v>
      </c>
      <c r="K66" s="340" t="str">
        <f t="shared" si="7"/>
        <v>Q6 Incremental PAC BAA LSEs Load</v>
      </c>
      <c r="L66" s="340" t="str">
        <f t="shared" si="7"/>
        <v>NA</v>
      </c>
      <c r="M66" s="340" t="str">
        <f t="shared" si="7"/>
        <v>NA</v>
      </c>
      <c r="N66" s="340" t="str">
        <f t="shared" si="7"/>
        <v>NA</v>
      </c>
      <c r="O66" s="340" t="str">
        <f t="shared" si="7"/>
        <v>Q6 WY Wind (New)</v>
      </c>
      <c r="P66" s="340" t="str">
        <f t="shared" si="7"/>
        <v>Q6 Incremental WY Gen (Existing)</v>
      </c>
      <c r="Q66" s="340" t="str">
        <f t="shared" si="7"/>
        <v>NA</v>
      </c>
      <c r="R66" s="340" t="str">
        <f t="shared" si="7"/>
        <v>NA</v>
      </c>
      <c r="S66" s="340" t="str">
        <f t="shared" si="7"/>
        <v>NA</v>
      </c>
      <c r="T66" s="339" t="str">
        <f t="shared" si="7"/>
        <v>Capital Cost + Loss + Reserve Benefits</v>
      </c>
      <c r="U66" s="337"/>
      <c r="V66" s="337"/>
    </row>
    <row r="67" spans="2:32" s="26" customFormat="1" ht="15" customHeight="1" x14ac:dyDescent="0.25">
      <c r="B67" s="214"/>
      <c r="C67" s="84" t="str">
        <f>C26</f>
        <v>DFRTP</v>
      </c>
      <c r="D67" s="85">
        <f t="shared" si="6"/>
        <v>-777137</v>
      </c>
      <c r="E67" s="85">
        <f t="shared" si="6"/>
        <v>-66699</v>
      </c>
      <c r="F67" s="85">
        <f t="shared" si="6"/>
        <v>-251599</v>
      </c>
      <c r="G67" s="85">
        <f t="shared" si="6"/>
        <v>84846</v>
      </c>
      <c r="H67" s="85"/>
      <c r="I67" s="233" t="str">
        <f>C67</f>
        <v>DFRTP</v>
      </c>
      <c r="J67" s="85">
        <f t="shared" ref="J67:S67" si="8">J26</f>
        <v>0</v>
      </c>
      <c r="K67" s="85">
        <f t="shared" si="8"/>
        <v>138783317.96634665</v>
      </c>
      <c r="L67" s="85">
        <f t="shared" si="8"/>
        <v>0</v>
      </c>
      <c r="M67" s="85">
        <f t="shared" si="8"/>
        <v>0</v>
      </c>
      <c r="N67" s="85">
        <f t="shared" si="8"/>
        <v>0</v>
      </c>
      <c r="O67" s="85">
        <f t="shared" si="8"/>
        <v>54896512.440021567</v>
      </c>
      <c r="P67" s="85">
        <f t="shared" si="8"/>
        <v>84812027.64610073</v>
      </c>
      <c r="Q67" s="85">
        <f t="shared" si="8"/>
        <v>0</v>
      </c>
      <c r="R67" s="85">
        <f t="shared" si="8"/>
        <v>0</v>
      </c>
      <c r="S67" s="85">
        <f t="shared" si="8"/>
        <v>0</v>
      </c>
      <c r="T67" s="111">
        <f>SUM(D67:S67)</f>
        <v>277481269.05246896</v>
      </c>
      <c r="U67" s="31"/>
      <c r="V67" s="31"/>
    </row>
    <row r="68" spans="2:32" s="26" customFormat="1" ht="15" customHeight="1" x14ac:dyDescent="0.25">
      <c r="C68" s="24" t="str">
        <f>C27</f>
        <v>CAC Scenario A</v>
      </c>
      <c r="D68" s="86">
        <f t="shared" ref="D68:G71" si="9">IF($D55&lt;$E$55,$E$55,IF($D55&gt;$F$55,$F$55,D27))</f>
        <v>-922590.92028320953</v>
      </c>
      <c r="E68" s="48">
        <f t="shared" si="9"/>
        <v>-263766.00109261274</v>
      </c>
      <c r="F68" s="48">
        <f t="shared" si="9"/>
        <v>-538304.3056371212</v>
      </c>
      <c r="G68" s="48">
        <f t="shared" si="9"/>
        <v>79959.62255824171</v>
      </c>
      <c r="H68" s="81"/>
      <c r="I68" s="234" t="str">
        <f t="shared" ref="I68:I72" si="10">C68</f>
        <v>CAC Scenario A</v>
      </c>
      <c r="J68" s="48">
        <f t="shared" ref="J68:S68" si="11">IF($D55&lt;$E$55,$E$55,IF($D55&gt;$F$55,$F$55,J27))</f>
        <v>0</v>
      </c>
      <c r="K68" s="48">
        <f t="shared" si="11"/>
        <v>138783317.96634665</v>
      </c>
      <c r="L68" s="48">
        <f t="shared" si="11"/>
        <v>0</v>
      </c>
      <c r="M68" s="48">
        <f t="shared" si="11"/>
        <v>0</v>
      </c>
      <c r="N68" s="48">
        <f t="shared" si="11"/>
        <v>0</v>
      </c>
      <c r="O68" s="48">
        <f t="shared" si="11"/>
        <v>54896512.440021567</v>
      </c>
      <c r="P68" s="48">
        <f t="shared" si="11"/>
        <v>84812027.64610073</v>
      </c>
      <c r="Q68" s="48">
        <f t="shared" si="11"/>
        <v>0</v>
      </c>
      <c r="R68" s="48">
        <f t="shared" si="11"/>
        <v>0</v>
      </c>
      <c r="S68" s="48">
        <f t="shared" si="11"/>
        <v>0</v>
      </c>
      <c r="T68" s="111">
        <f t="shared" ref="T68:T72" si="12">SUM(D68:S68)</f>
        <v>276847156.44801426</v>
      </c>
      <c r="U68" s="31"/>
      <c r="V68" s="31"/>
    </row>
    <row r="69" spans="2:32" s="26" customFormat="1" ht="15" customHeight="1" x14ac:dyDescent="0.25">
      <c r="C69" s="24" t="str">
        <f>C28</f>
        <v>CAC Scenario B</v>
      </c>
      <c r="D69" s="86">
        <f t="shared" si="9"/>
        <v>-635839.05382926762</v>
      </c>
      <c r="E69" s="48">
        <f t="shared" si="9"/>
        <v>-218288.50365309417</v>
      </c>
      <c r="F69" s="48">
        <f t="shared" si="9"/>
        <v>-419038.98202031106</v>
      </c>
      <c r="G69" s="48">
        <f t="shared" si="9"/>
        <v>79959.300169384107</v>
      </c>
      <c r="H69" s="81"/>
      <c r="I69" s="235" t="str">
        <f t="shared" si="10"/>
        <v>CAC Scenario B</v>
      </c>
      <c r="J69" s="48">
        <f t="shared" ref="J69:S69" si="13">IF($D56&lt;$E$55,$E$55,IF($D56&gt;$F$55,$F$55,J28))</f>
        <v>0</v>
      </c>
      <c r="K69" s="48">
        <f t="shared" si="13"/>
        <v>138783317.96634665</v>
      </c>
      <c r="L69" s="48">
        <f t="shared" si="13"/>
        <v>0</v>
      </c>
      <c r="M69" s="48">
        <f t="shared" si="13"/>
        <v>0</v>
      </c>
      <c r="N69" s="48">
        <f t="shared" si="13"/>
        <v>0</v>
      </c>
      <c r="O69" s="48">
        <f t="shared" si="13"/>
        <v>54896512.440021567</v>
      </c>
      <c r="P69" s="48">
        <f t="shared" si="13"/>
        <v>84812027.64610073</v>
      </c>
      <c r="Q69" s="48">
        <f t="shared" si="13"/>
        <v>0</v>
      </c>
      <c r="R69" s="48">
        <f t="shared" si="13"/>
        <v>0</v>
      </c>
      <c r="S69" s="48">
        <f t="shared" si="13"/>
        <v>0</v>
      </c>
      <c r="T69" s="111">
        <f t="shared" si="12"/>
        <v>277298650.81313562</v>
      </c>
      <c r="U69" s="31"/>
      <c r="V69" s="31"/>
    </row>
    <row r="70" spans="2:32" s="26" customFormat="1" ht="15" customHeight="1" x14ac:dyDescent="0.25">
      <c r="C70" s="24" t="str">
        <f>C29</f>
        <v>CAC Scenario C</v>
      </c>
      <c r="D70" s="86">
        <f t="shared" si="9"/>
        <v>-398957.79228290543</v>
      </c>
      <c r="E70" s="48">
        <f t="shared" si="9"/>
        <v>-163716.40838254616</v>
      </c>
      <c r="F70" s="48">
        <f t="shared" si="9"/>
        <v>-307395.18411602825</v>
      </c>
      <c r="G70" s="48">
        <f t="shared" si="9"/>
        <v>53306.313472522423</v>
      </c>
      <c r="H70" s="81"/>
      <c r="I70" s="235" t="str">
        <f t="shared" si="10"/>
        <v>CAC Scenario C</v>
      </c>
      <c r="J70" s="48">
        <f t="shared" ref="J70:S70" si="14">IF($D57&lt;$E$55,$E$55,IF($D57&gt;$F$55,$F$55,J29))</f>
        <v>0</v>
      </c>
      <c r="K70" s="48">
        <f t="shared" si="14"/>
        <v>138783317.96634665</v>
      </c>
      <c r="L70" s="48">
        <f t="shared" si="14"/>
        <v>0</v>
      </c>
      <c r="M70" s="48">
        <f t="shared" si="14"/>
        <v>0</v>
      </c>
      <c r="N70" s="48">
        <f t="shared" si="14"/>
        <v>0</v>
      </c>
      <c r="O70" s="48">
        <f t="shared" si="14"/>
        <v>37187263.171689659</v>
      </c>
      <c r="P70" s="48">
        <f t="shared" si="14"/>
        <v>102521276.91443264</v>
      </c>
      <c r="Q70" s="48">
        <f t="shared" si="14"/>
        <v>0</v>
      </c>
      <c r="R70" s="48">
        <f t="shared" si="14"/>
        <v>0</v>
      </c>
      <c r="S70" s="48">
        <f t="shared" si="14"/>
        <v>0</v>
      </c>
      <c r="T70" s="111">
        <f t="shared" si="12"/>
        <v>277675094.98115999</v>
      </c>
      <c r="U70" s="31"/>
      <c r="V70" s="31"/>
    </row>
    <row r="71" spans="2:32" s="26" customFormat="1" ht="15" customHeight="1" x14ac:dyDescent="0.25">
      <c r="B71" s="214"/>
      <c r="C71" s="84" t="str">
        <f>C30</f>
        <v>CAC Scenario D</v>
      </c>
      <c r="D71" s="215">
        <f t="shared" si="9"/>
        <v>-62337.163094229996</v>
      </c>
      <c r="E71" s="216">
        <f t="shared" si="9"/>
        <v>27285.97480429709</v>
      </c>
      <c r="F71" s="216">
        <f t="shared" si="9"/>
        <v>-92213.112222775817</v>
      </c>
      <c r="G71" s="216">
        <f t="shared" si="9"/>
        <v>-2.2647641599178314E-3</v>
      </c>
      <c r="H71" s="85"/>
      <c r="I71" s="233" t="str">
        <f t="shared" si="10"/>
        <v>CAC Scenario D</v>
      </c>
      <c r="J71" s="216">
        <f t="shared" ref="J71:S71" si="15">IF($D58&lt;$E$55,$E$55,IF($D58&gt;$F$55,$F$55,J30))</f>
        <v>0</v>
      </c>
      <c r="K71" s="216">
        <f t="shared" si="15"/>
        <v>138783317.96634665</v>
      </c>
      <c r="L71" s="216">
        <f t="shared" si="15"/>
        <v>0</v>
      </c>
      <c r="M71" s="216">
        <f t="shared" si="15"/>
        <v>0</v>
      </c>
      <c r="N71" s="216">
        <f t="shared" si="15"/>
        <v>0</v>
      </c>
      <c r="O71" s="216">
        <f t="shared" si="15"/>
        <v>72804145.617365435</v>
      </c>
      <c r="P71" s="216">
        <f t="shared" si="15"/>
        <v>66904394.468756877</v>
      </c>
      <c r="Q71" s="216">
        <f t="shared" si="15"/>
        <v>0</v>
      </c>
      <c r="R71" s="216">
        <f t="shared" si="15"/>
        <v>0</v>
      </c>
      <c r="S71" s="216">
        <f t="shared" si="15"/>
        <v>0</v>
      </c>
      <c r="T71" s="111">
        <f t="shared" si="12"/>
        <v>278364593.74969149</v>
      </c>
      <c r="U71" s="31"/>
      <c r="V71" s="31"/>
    </row>
    <row r="72" spans="2:32" s="26" customFormat="1" ht="15" customHeight="1" x14ac:dyDescent="0.25">
      <c r="B72" s="211" t="s">
        <v>46</v>
      </c>
      <c r="C72" s="212" t="s">
        <v>47</v>
      </c>
      <c r="D72" s="213">
        <f>AVERAGE(D68:D71)</f>
        <v>-504931.23237240314</v>
      </c>
      <c r="E72" s="178">
        <f t="shared" ref="E72:F72" si="16">AVERAGE(E68:E71)</f>
        <v>-154621.234580989</v>
      </c>
      <c r="F72" s="178">
        <f t="shared" si="16"/>
        <v>-339237.89599905908</v>
      </c>
      <c r="G72" s="178">
        <f>AVERAGE(G68:G71)</f>
        <v>53306.30848384602</v>
      </c>
      <c r="H72" s="178"/>
      <c r="I72" s="234" t="str">
        <f t="shared" si="10"/>
        <v>Used in Criterion b</v>
      </c>
      <c r="J72" s="178">
        <f>AVERAGE(J68:J71)</f>
        <v>0</v>
      </c>
      <c r="K72" s="178">
        <f t="shared" ref="K72:S72" si="17">AVERAGE(K68:K71)</f>
        <v>138783317.96634665</v>
      </c>
      <c r="L72" s="178">
        <f t="shared" si="17"/>
        <v>0</v>
      </c>
      <c r="M72" s="178">
        <f t="shared" si="17"/>
        <v>0</v>
      </c>
      <c r="N72" s="178">
        <f t="shared" si="17"/>
        <v>0</v>
      </c>
      <c r="O72" s="178">
        <f t="shared" si="17"/>
        <v>54946108.41727455</v>
      </c>
      <c r="P72" s="178">
        <f t="shared" si="17"/>
        <v>84762431.66884774</v>
      </c>
      <c r="Q72" s="178">
        <f t="shared" si="17"/>
        <v>0</v>
      </c>
      <c r="R72" s="178">
        <f t="shared" si="17"/>
        <v>0</v>
      </c>
      <c r="S72" s="178">
        <f t="shared" si="17"/>
        <v>0</v>
      </c>
      <c r="T72" s="111">
        <f t="shared" si="12"/>
        <v>277546373.99800032</v>
      </c>
      <c r="U72" s="31"/>
      <c r="V72" s="31"/>
    </row>
    <row r="73" spans="2:32" s="26" customFormat="1" ht="15" customHeight="1" x14ac:dyDescent="0.25">
      <c r="B73" s="37"/>
      <c r="C73" s="24"/>
      <c r="D73" s="13"/>
      <c r="E73" s="13"/>
      <c r="F73" s="13"/>
      <c r="G73" s="13"/>
      <c r="H73" s="13"/>
      <c r="I73" s="13"/>
      <c r="J73" s="31"/>
      <c r="K73" s="32"/>
      <c r="L73" s="32"/>
      <c r="M73" s="32"/>
      <c r="N73" s="32"/>
      <c r="O73" s="32"/>
      <c r="P73" s="32"/>
      <c r="Q73" s="32"/>
      <c r="R73" s="32"/>
      <c r="S73" s="32"/>
      <c r="T73" s="31"/>
      <c r="U73" s="31"/>
      <c r="V73" s="31"/>
    </row>
    <row r="74" spans="2:32" s="26" customFormat="1" ht="42.75" customHeight="1" x14ac:dyDescent="0.25">
      <c r="B74" s="60" t="s">
        <v>48</v>
      </c>
      <c r="C74" s="542" t="s">
        <v>50</v>
      </c>
      <c r="D74" s="542"/>
      <c r="E74" s="542"/>
      <c r="F74" s="542"/>
      <c r="G74" s="542"/>
      <c r="H74" s="542"/>
      <c r="I74" s="543"/>
      <c r="J74" s="31"/>
      <c r="K74" s="32"/>
      <c r="L74" s="32"/>
      <c r="M74" s="32"/>
      <c r="N74" s="32"/>
      <c r="O74" s="32"/>
      <c r="P74" s="32"/>
      <c r="Q74" s="32"/>
      <c r="R74" s="32"/>
      <c r="S74" s="32"/>
      <c r="T74" s="31"/>
      <c r="U74" s="31"/>
      <c r="V74" s="31"/>
    </row>
    <row r="75" spans="2:32" s="26" customFormat="1" ht="15" customHeight="1" x14ac:dyDescent="0.25">
      <c r="C75" s="30"/>
      <c r="D75" s="30"/>
      <c r="E75" s="30"/>
      <c r="F75" s="30"/>
      <c r="G75" s="30"/>
      <c r="H75" s="30"/>
      <c r="I75" s="30"/>
      <c r="J75" s="31"/>
      <c r="K75" s="32"/>
      <c r="L75" s="32"/>
      <c r="M75" s="32"/>
      <c r="N75" s="32"/>
      <c r="O75" s="32"/>
      <c r="P75" s="32"/>
      <c r="Q75" s="32"/>
      <c r="R75" s="32"/>
      <c r="S75" s="32"/>
      <c r="T75" s="31"/>
      <c r="U75" s="31"/>
      <c r="V75" s="31"/>
    </row>
    <row r="76" spans="2:32" s="26" customFormat="1" ht="15" customHeight="1" x14ac:dyDescent="0.25">
      <c r="B76" s="43" t="s">
        <v>44</v>
      </c>
      <c r="C76" s="44"/>
      <c r="D76" s="44"/>
      <c r="E76" s="44"/>
      <c r="F76" s="44"/>
      <c r="G76" s="44"/>
      <c r="H76" s="44"/>
      <c r="I76" s="44"/>
      <c r="J76" s="179"/>
      <c r="K76" s="180"/>
      <c r="L76" s="180"/>
      <c r="M76" s="180"/>
      <c r="N76" s="180"/>
      <c r="O76" s="180"/>
      <c r="P76" s="180"/>
      <c r="Q76" s="180"/>
      <c r="R76" s="180"/>
      <c r="S76" s="180"/>
      <c r="T76" s="181"/>
      <c r="U76" s="31"/>
      <c r="V76" s="31"/>
    </row>
    <row r="77" spans="2:32" s="26" customFormat="1" ht="15" customHeight="1" x14ac:dyDescent="0.25">
      <c r="B77" s="45" t="s">
        <v>16</v>
      </c>
      <c r="C77" s="46"/>
      <c r="D77" s="538" t="s">
        <v>74</v>
      </c>
      <c r="E77" s="538"/>
      <c r="F77" s="538"/>
      <c r="G77" s="538"/>
      <c r="H77" s="538"/>
      <c r="I77" s="538"/>
      <c r="J77" s="538"/>
      <c r="K77" s="538"/>
      <c r="L77" s="538"/>
      <c r="M77" s="538"/>
      <c r="N77" s="538"/>
      <c r="O77" s="538"/>
      <c r="P77" s="538"/>
      <c r="Q77" s="538"/>
      <c r="R77" s="538"/>
      <c r="S77" s="538"/>
      <c r="T77" s="47" t="s">
        <v>94</v>
      </c>
      <c r="Y77" s="31"/>
      <c r="Z77" s="31"/>
      <c r="AA77" s="31"/>
      <c r="AB77" s="31"/>
      <c r="AC77" s="31"/>
      <c r="AD77" s="31"/>
      <c r="AE77" s="31"/>
      <c r="AF77" s="31"/>
    </row>
    <row r="78" spans="2:32" s="338" customFormat="1" ht="45" x14ac:dyDescent="0.25">
      <c r="B78" s="341"/>
      <c r="C78" s="342"/>
      <c r="D78" s="343" t="str">
        <f>D66</f>
        <v>IPC TSP</v>
      </c>
      <c r="E78" s="343" t="str">
        <f>E66</f>
        <v>NWE TSP</v>
      </c>
      <c r="F78" s="343" t="str">
        <f>F66</f>
        <v>PAC TSP</v>
      </c>
      <c r="G78" s="343" t="str">
        <f>G66</f>
        <v>PGE TSP</v>
      </c>
      <c r="H78" s="343"/>
      <c r="I78" s="344"/>
      <c r="J78" s="345" t="str">
        <f>J66</f>
        <v>NA</v>
      </c>
      <c r="K78" s="345" t="str">
        <f>K66</f>
        <v>Q6 Incremental PAC BAA LSEs Load</v>
      </c>
      <c r="L78" s="345" t="str">
        <f t="shared" ref="L78:S78" si="18">L66</f>
        <v>NA</v>
      </c>
      <c r="M78" s="345" t="str">
        <f t="shared" si="18"/>
        <v>NA</v>
      </c>
      <c r="N78" s="345" t="str">
        <f t="shared" si="18"/>
        <v>NA</v>
      </c>
      <c r="O78" s="345" t="str">
        <f t="shared" si="18"/>
        <v>Q6 WY Wind (New)</v>
      </c>
      <c r="P78" s="345" t="str">
        <f t="shared" si="18"/>
        <v>Q6 Incremental WY Gen (Existing)</v>
      </c>
      <c r="Q78" s="345" t="str">
        <f t="shared" si="18"/>
        <v>NA</v>
      </c>
      <c r="R78" s="345" t="str">
        <f t="shared" si="18"/>
        <v>NA</v>
      </c>
      <c r="S78" s="345" t="str">
        <f t="shared" si="18"/>
        <v>NA</v>
      </c>
      <c r="T78" s="346" t="s">
        <v>42</v>
      </c>
      <c r="Y78" s="337"/>
      <c r="Z78" s="337"/>
      <c r="AA78" s="337"/>
      <c r="AB78" s="337"/>
      <c r="AC78" s="337"/>
      <c r="AD78" s="337"/>
      <c r="AE78" s="337"/>
      <c r="AF78" s="337"/>
    </row>
    <row r="79" spans="2:32" s="26" customFormat="1" ht="15" customHeight="1" x14ac:dyDescent="0.25">
      <c r="B79" s="96"/>
      <c r="C79" s="25" t="str">
        <f>C67</f>
        <v>DFRTP</v>
      </c>
      <c r="D79" s="48">
        <f>IF(D$72&lt;0,0,D67)</f>
        <v>0</v>
      </c>
      <c r="E79" s="48">
        <f>IF(E$72&lt;0,0,E67)</f>
        <v>0</v>
      </c>
      <c r="F79" s="48">
        <f>IF(F$72&lt;0,0,F67)</f>
        <v>0</v>
      </c>
      <c r="G79" s="48">
        <f>IF(G$72&lt;0,0,G67)</f>
        <v>84846</v>
      </c>
      <c r="H79" s="48"/>
      <c r="I79" s="178"/>
      <c r="J79" s="48">
        <f>IF(J$72&lt;0,0,J67)</f>
        <v>0</v>
      </c>
      <c r="K79" s="48">
        <f t="shared" ref="K79:S79" si="19">IF(K$72&lt;0,0,K67)</f>
        <v>138783317.96634665</v>
      </c>
      <c r="L79" s="48">
        <f t="shared" si="19"/>
        <v>0</v>
      </c>
      <c r="M79" s="48">
        <f t="shared" si="19"/>
        <v>0</v>
      </c>
      <c r="N79" s="48">
        <f t="shared" si="19"/>
        <v>0</v>
      </c>
      <c r="O79" s="48">
        <f t="shared" si="19"/>
        <v>54896512.440021567</v>
      </c>
      <c r="P79" s="48">
        <f t="shared" si="19"/>
        <v>84812027.64610073</v>
      </c>
      <c r="Q79" s="48">
        <f t="shared" si="19"/>
        <v>0</v>
      </c>
      <c r="R79" s="48">
        <f t="shared" si="19"/>
        <v>0</v>
      </c>
      <c r="S79" s="48">
        <f t="shared" si="19"/>
        <v>0</v>
      </c>
      <c r="T79" s="222">
        <f>SUM(D79:S79)</f>
        <v>278576704.05246896</v>
      </c>
      <c r="Y79" s="31"/>
      <c r="Z79" s="31"/>
      <c r="AA79" s="31"/>
      <c r="AB79" s="31"/>
      <c r="AC79" s="31"/>
      <c r="AD79" s="31"/>
      <c r="AE79" s="31"/>
      <c r="AF79" s="31"/>
    </row>
    <row r="80" spans="2:32" s="26" customFormat="1" ht="15" customHeight="1" x14ac:dyDescent="0.25">
      <c r="B80" s="96"/>
      <c r="C80" s="25" t="str">
        <f>C68</f>
        <v>CAC Scenario A</v>
      </c>
      <c r="D80" s="48">
        <f t="shared" ref="D80:F84" si="20">IF(D$72&lt;0,0,D68)</f>
        <v>0</v>
      </c>
      <c r="E80" s="48">
        <f t="shared" si="20"/>
        <v>0</v>
      </c>
      <c r="F80" s="48">
        <f t="shared" si="20"/>
        <v>0</v>
      </c>
      <c r="G80" s="48">
        <f t="shared" ref="G80:G83" si="21">IF(G$72&lt;0,0,G68)</f>
        <v>79959.62255824171</v>
      </c>
      <c r="H80" s="48"/>
      <c r="I80" s="178"/>
      <c r="J80" s="48">
        <f t="shared" ref="J80:S83" si="22">IF(J$72&lt;0,0,J68)</f>
        <v>0</v>
      </c>
      <c r="K80" s="48">
        <f t="shared" si="22"/>
        <v>138783317.96634665</v>
      </c>
      <c r="L80" s="48">
        <f t="shared" si="22"/>
        <v>0</v>
      </c>
      <c r="M80" s="48">
        <f t="shared" si="22"/>
        <v>0</v>
      </c>
      <c r="N80" s="48">
        <f t="shared" si="22"/>
        <v>0</v>
      </c>
      <c r="O80" s="48">
        <f t="shared" si="22"/>
        <v>54896512.440021567</v>
      </c>
      <c r="P80" s="48">
        <f t="shared" si="22"/>
        <v>84812027.64610073</v>
      </c>
      <c r="Q80" s="48">
        <f t="shared" si="22"/>
        <v>0</v>
      </c>
      <c r="R80" s="48">
        <f t="shared" si="22"/>
        <v>0</v>
      </c>
      <c r="S80" s="48">
        <f t="shared" si="22"/>
        <v>0</v>
      </c>
      <c r="T80" s="222">
        <f t="shared" ref="T80:T83" si="23">SUM(D80:S80)</f>
        <v>278571817.67502719</v>
      </c>
      <c r="Y80" s="31"/>
      <c r="Z80" s="31"/>
      <c r="AA80" s="31"/>
      <c r="AB80" s="31"/>
      <c r="AC80" s="31"/>
      <c r="AD80" s="31"/>
      <c r="AE80" s="31"/>
      <c r="AF80" s="31"/>
    </row>
    <row r="81" spans="1:32" s="26" customFormat="1" ht="15" customHeight="1" x14ac:dyDescent="0.25">
      <c r="B81" s="96"/>
      <c r="C81" s="25" t="str">
        <f>C69</f>
        <v>CAC Scenario B</v>
      </c>
      <c r="D81" s="48">
        <f t="shared" si="20"/>
        <v>0</v>
      </c>
      <c r="E81" s="48">
        <f t="shared" si="20"/>
        <v>0</v>
      </c>
      <c r="F81" s="48">
        <f t="shared" si="20"/>
        <v>0</v>
      </c>
      <c r="G81" s="48">
        <f t="shared" si="21"/>
        <v>79959.300169384107</v>
      </c>
      <c r="H81" s="48"/>
      <c r="I81" s="178"/>
      <c r="J81" s="48">
        <f t="shared" si="22"/>
        <v>0</v>
      </c>
      <c r="K81" s="48">
        <f t="shared" si="22"/>
        <v>138783317.96634665</v>
      </c>
      <c r="L81" s="48">
        <f t="shared" si="22"/>
        <v>0</v>
      </c>
      <c r="M81" s="48">
        <f t="shared" si="22"/>
        <v>0</v>
      </c>
      <c r="N81" s="48">
        <f t="shared" si="22"/>
        <v>0</v>
      </c>
      <c r="O81" s="48">
        <f t="shared" si="22"/>
        <v>54896512.440021567</v>
      </c>
      <c r="P81" s="48">
        <f t="shared" si="22"/>
        <v>84812027.64610073</v>
      </c>
      <c r="Q81" s="48">
        <f t="shared" si="22"/>
        <v>0</v>
      </c>
      <c r="R81" s="48">
        <f t="shared" si="22"/>
        <v>0</v>
      </c>
      <c r="S81" s="48">
        <f t="shared" si="22"/>
        <v>0</v>
      </c>
      <c r="T81" s="222">
        <f t="shared" si="23"/>
        <v>278571817.35263836</v>
      </c>
      <c r="Y81" s="31"/>
      <c r="Z81" s="31"/>
      <c r="AA81" s="31"/>
      <c r="AB81" s="31"/>
      <c r="AC81" s="31"/>
      <c r="AD81" s="31"/>
      <c r="AE81" s="31"/>
      <c r="AF81" s="31"/>
    </row>
    <row r="82" spans="1:32" s="26" customFormat="1" ht="15" customHeight="1" x14ac:dyDescent="0.25">
      <c r="B82" s="96"/>
      <c r="C82" s="25" t="str">
        <f>C70</f>
        <v>CAC Scenario C</v>
      </c>
      <c r="D82" s="48">
        <f t="shared" si="20"/>
        <v>0</v>
      </c>
      <c r="E82" s="48">
        <f t="shared" si="20"/>
        <v>0</v>
      </c>
      <c r="F82" s="48">
        <f t="shared" si="20"/>
        <v>0</v>
      </c>
      <c r="G82" s="48">
        <f t="shared" si="21"/>
        <v>53306.313472522423</v>
      </c>
      <c r="H82" s="48"/>
      <c r="I82" s="178"/>
      <c r="J82" s="48">
        <f t="shared" si="22"/>
        <v>0</v>
      </c>
      <c r="K82" s="48">
        <f t="shared" si="22"/>
        <v>138783317.96634665</v>
      </c>
      <c r="L82" s="48">
        <f t="shared" si="22"/>
        <v>0</v>
      </c>
      <c r="M82" s="48">
        <f t="shared" si="22"/>
        <v>0</v>
      </c>
      <c r="N82" s="48">
        <f t="shared" si="22"/>
        <v>0</v>
      </c>
      <c r="O82" s="48">
        <f t="shared" si="22"/>
        <v>37187263.171689659</v>
      </c>
      <c r="P82" s="48">
        <f t="shared" si="22"/>
        <v>102521276.91443264</v>
      </c>
      <c r="Q82" s="48">
        <f t="shared" si="22"/>
        <v>0</v>
      </c>
      <c r="R82" s="48">
        <f t="shared" si="22"/>
        <v>0</v>
      </c>
      <c r="S82" s="48">
        <f t="shared" si="22"/>
        <v>0</v>
      </c>
      <c r="T82" s="222">
        <f t="shared" si="23"/>
        <v>278545164.36594146</v>
      </c>
      <c r="Y82" s="31"/>
      <c r="Z82" s="31"/>
      <c r="AA82" s="31"/>
      <c r="AB82" s="31"/>
      <c r="AC82" s="31"/>
      <c r="AD82" s="31"/>
      <c r="AE82" s="31"/>
      <c r="AF82" s="31"/>
    </row>
    <row r="83" spans="1:32" s="26" customFormat="1" ht="15" customHeight="1" x14ac:dyDescent="0.25">
      <c r="B83" s="97"/>
      <c r="C83" s="25" t="str">
        <f>C71</f>
        <v>CAC Scenario D</v>
      </c>
      <c r="D83" s="48">
        <f t="shared" si="20"/>
        <v>0</v>
      </c>
      <c r="E83" s="48">
        <f t="shared" si="20"/>
        <v>0</v>
      </c>
      <c r="F83" s="48">
        <f t="shared" si="20"/>
        <v>0</v>
      </c>
      <c r="G83" s="48">
        <f t="shared" si="21"/>
        <v>-2.2647641599178314E-3</v>
      </c>
      <c r="H83" s="48"/>
      <c r="I83" s="178"/>
      <c r="J83" s="48">
        <f t="shared" si="22"/>
        <v>0</v>
      </c>
      <c r="K83" s="48">
        <f t="shared" si="22"/>
        <v>138783317.96634665</v>
      </c>
      <c r="L83" s="48">
        <f t="shared" si="22"/>
        <v>0</v>
      </c>
      <c r="M83" s="48">
        <f t="shared" si="22"/>
        <v>0</v>
      </c>
      <c r="N83" s="48">
        <f t="shared" si="22"/>
        <v>0</v>
      </c>
      <c r="O83" s="48">
        <f t="shared" si="22"/>
        <v>72804145.617365435</v>
      </c>
      <c r="P83" s="48">
        <f t="shared" si="22"/>
        <v>66904394.468756877</v>
      </c>
      <c r="Q83" s="48">
        <f t="shared" si="22"/>
        <v>0</v>
      </c>
      <c r="R83" s="48">
        <f t="shared" si="22"/>
        <v>0</v>
      </c>
      <c r="S83" s="48">
        <f t="shared" si="22"/>
        <v>0</v>
      </c>
      <c r="T83" s="222">
        <f t="shared" si="23"/>
        <v>278491858.05020416</v>
      </c>
      <c r="Y83" s="31"/>
      <c r="Z83" s="31"/>
      <c r="AA83" s="31"/>
      <c r="AB83" s="31"/>
      <c r="AC83" s="31"/>
      <c r="AD83" s="31"/>
      <c r="AE83" s="31"/>
      <c r="AF83" s="31"/>
    </row>
    <row r="84" spans="1:32" s="26" customFormat="1" ht="15" customHeight="1" x14ac:dyDescent="0.25">
      <c r="B84" s="177" t="s">
        <v>51</v>
      </c>
      <c r="C84" s="182"/>
      <c r="D84" s="79">
        <f>IF(D$72&lt;0,0,D72)</f>
        <v>0</v>
      </c>
      <c r="E84" s="79">
        <f t="shared" si="20"/>
        <v>0</v>
      </c>
      <c r="F84" s="79">
        <f t="shared" si="20"/>
        <v>0</v>
      </c>
      <c r="G84" s="79">
        <f>IF(G$72&lt;0,0,G72)</f>
        <v>53306.30848384602</v>
      </c>
      <c r="H84" s="79"/>
      <c r="I84" s="183"/>
      <c r="J84" s="79">
        <f>IF(J$72&lt;0,0,J72)</f>
        <v>0</v>
      </c>
      <c r="K84" s="79">
        <f t="shared" ref="K84:S84" si="24">IF(K$72&lt;0,0,K72)</f>
        <v>138783317.96634665</v>
      </c>
      <c r="L84" s="79">
        <f t="shared" si="24"/>
        <v>0</v>
      </c>
      <c r="M84" s="79">
        <f t="shared" si="24"/>
        <v>0</v>
      </c>
      <c r="N84" s="79">
        <f t="shared" si="24"/>
        <v>0</v>
      </c>
      <c r="O84" s="79">
        <f t="shared" si="24"/>
        <v>54946108.41727455</v>
      </c>
      <c r="P84" s="79">
        <f t="shared" si="24"/>
        <v>84762431.66884774</v>
      </c>
      <c r="Q84" s="79">
        <f t="shared" si="24"/>
        <v>0</v>
      </c>
      <c r="R84" s="79">
        <f t="shared" si="24"/>
        <v>0</v>
      </c>
      <c r="S84" s="79">
        <f t="shared" si="24"/>
        <v>0</v>
      </c>
      <c r="T84" s="223">
        <f>SUM(D84:S84)</f>
        <v>278545164.36095279</v>
      </c>
      <c r="Y84" s="31"/>
      <c r="Z84" s="31"/>
      <c r="AA84" s="31"/>
      <c r="AB84" s="31"/>
      <c r="AC84" s="31"/>
      <c r="AD84" s="31"/>
      <c r="AE84" s="31"/>
      <c r="AF84" s="31"/>
    </row>
    <row r="85" spans="1:32" s="26" customFormat="1" ht="15" customHeight="1" x14ac:dyDescent="0.25">
      <c r="C85" s="30"/>
      <c r="D85" s="48"/>
      <c r="E85" s="48"/>
      <c r="F85" s="48"/>
      <c r="G85" s="48"/>
      <c r="H85" s="48"/>
      <c r="I85" s="48"/>
      <c r="J85" s="31"/>
      <c r="K85" s="31"/>
      <c r="L85" s="31"/>
      <c r="M85" s="31"/>
      <c r="N85" s="31"/>
      <c r="O85" s="31"/>
      <c r="P85" s="31"/>
      <c r="Q85" s="31"/>
      <c r="R85" s="31"/>
      <c r="S85" s="31"/>
      <c r="T85" s="31"/>
      <c r="U85" s="31"/>
      <c r="V85" s="31"/>
    </row>
    <row r="87" spans="1:32" x14ac:dyDescent="0.25">
      <c r="A87" s="14" t="s">
        <v>19</v>
      </c>
      <c r="B87" s="14" t="s">
        <v>20</v>
      </c>
    </row>
    <row r="88" spans="1:32" ht="67.5" customHeight="1" x14ac:dyDescent="0.25">
      <c r="A88" s="14"/>
      <c r="B88" s="544" t="s">
        <v>45</v>
      </c>
      <c r="C88" s="545"/>
      <c r="D88" s="545"/>
      <c r="E88" s="545"/>
      <c r="F88" s="545"/>
      <c r="G88" s="545"/>
      <c r="H88" s="545"/>
      <c r="I88" s="546"/>
    </row>
    <row r="89" spans="1:32" x14ac:dyDescent="0.25">
      <c r="A89" s="187"/>
      <c r="B89" s="188"/>
      <c r="C89" s="189"/>
      <c r="D89" s="189"/>
      <c r="E89" s="189"/>
      <c r="F89" s="189"/>
      <c r="G89" s="189"/>
      <c r="H89" s="189"/>
      <c r="I89" s="189"/>
    </row>
    <row r="90" spans="1:32" x14ac:dyDescent="0.25">
      <c r="A90" s="187"/>
      <c r="B90" s="547"/>
      <c r="C90" s="547"/>
      <c r="D90" s="547"/>
      <c r="E90" s="547"/>
      <c r="F90" s="547"/>
      <c r="G90" s="547"/>
      <c r="H90" s="547"/>
      <c r="I90" s="547"/>
    </row>
    <row r="91" spans="1:32" x14ac:dyDescent="0.25">
      <c r="B91" s="548" t="s">
        <v>52</v>
      </c>
      <c r="C91" s="549"/>
      <c r="D91" s="549"/>
      <c r="E91" s="549"/>
      <c r="F91" s="549"/>
      <c r="G91" s="549"/>
      <c r="H91" s="549"/>
      <c r="I91" s="550"/>
      <c r="J91" s="3"/>
      <c r="K91" s="3"/>
      <c r="L91" s="3"/>
      <c r="M91" s="3"/>
      <c r="N91" s="3"/>
      <c r="O91" s="3"/>
      <c r="P91" s="3"/>
      <c r="Q91" s="3"/>
      <c r="R91" s="3"/>
      <c r="S91" s="3"/>
      <c r="T91" s="3"/>
      <c r="U91" s="3"/>
      <c r="V91" s="3"/>
    </row>
    <row r="92" spans="1:32" ht="196.5" customHeight="1" x14ac:dyDescent="0.25">
      <c r="B92" s="27"/>
      <c r="C92" s="27"/>
      <c r="D92" s="27"/>
      <c r="E92" s="27"/>
      <c r="F92" s="27"/>
      <c r="G92" s="27"/>
      <c r="H92" s="27"/>
      <c r="I92" s="27"/>
      <c r="J92" s="27"/>
      <c r="K92" s="27"/>
      <c r="L92" s="27"/>
      <c r="M92" s="27"/>
      <c r="N92" s="27"/>
      <c r="O92" s="27"/>
      <c r="P92" s="27"/>
      <c r="Q92" s="27"/>
      <c r="R92" s="27"/>
      <c r="S92" s="27"/>
      <c r="T92" s="27"/>
      <c r="U92" s="27"/>
      <c r="V92" s="27"/>
    </row>
    <row r="93" spans="1:32" x14ac:dyDescent="0.25">
      <c r="B93" s="27"/>
      <c r="C93" s="27"/>
      <c r="D93" s="27"/>
      <c r="E93" s="27"/>
      <c r="F93" s="27"/>
      <c r="G93" s="27"/>
      <c r="H93" s="27"/>
      <c r="I93" s="27"/>
      <c r="J93" s="27"/>
      <c r="K93" s="27"/>
      <c r="L93" s="27"/>
      <c r="M93" s="27"/>
      <c r="N93" s="27"/>
      <c r="O93" s="27"/>
      <c r="P93" s="27"/>
      <c r="Q93" s="27"/>
      <c r="R93" s="27"/>
      <c r="S93" s="27"/>
      <c r="T93" s="27"/>
      <c r="U93" s="27"/>
      <c r="V93" s="27"/>
    </row>
    <row r="94" spans="1:32" ht="74.25" customHeight="1" x14ac:dyDescent="0.25">
      <c r="B94" s="548" t="s">
        <v>54</v>
      </c>
      <c r="C94" s="549"/>
      <c r="D94" s="549"/>
      <c r="E94" s="549"/>
      <c r="F94" s="549"/>
      <c r="G94" s="549"/>
      <c r="H94" s="550"/>
      <c r="I94" s="27"/>
      <c r="J94" s="27"/>
      <c r="K94" s="27"/>
      <c r="L94" s="27"/>
      <c r="M94" s="27"/>
      <c r="N94" s="27"/>
      <c r="O94" s="27"/>
      <c r="P94" s="27"/>
      <c r="Q94" s="27"/>
      <c r="R94" s="27"/>
      <c r="S94" s="27"/>
      <c r="T94" s="27"/>
      <c r="U94" s="27"/>
      <c r="V94" s="27"/>
    </row>
    <row r="95" spans="1:32" x14ac:dyDescent="0.25">
      <c r="B95" s="27"/>
      <c r="C95" s="27"/>
      <c r="D95" s="27"/>
      <c r="E95" s="27"/>
      <c r="F95" s="27"/>
      <c r="G95" s="27"/>
      <c r="H95" s="27"/>
      <c r="I95" s="27"/>
      <c r="J95" s="27"/>
      <c r="K95" s="27"/>
      <c r="L95" s="27"/>
      <c r="M95" s="27"/>
      <c r="N95" s="27"/>
      <c r="O95" s="27"/>
      <c r="P95" s="27"/>
      <c r="Q95" s="27"/>
      <c r="R95" s="27"/>
      <c r="S95" s="27"/>
      <c r="T95" s="27"/>
      <c r="U95" s="27"/>
      <c r="V95" s="27"/>
    </row>
    <row r="96" spans="1:32" x14ac:dyDescent="0.25">
      <c r="A96" s="49" t="s">
        <v>55</v>
      </c>
      <c r="D96" s="12" t="str">
        <f>Planning!F7</f>
        <v>Q6 2014$</v>
      </c>
    </row>
    <row r="97" spans="1:20" x14ac:dyDescent="0.25">
      <c r="C97" s="112" t="str">
        <f>C16</f>
        <v>Alternative Project</v>
      </c>
      <c r="D97" s="169">
        <f>D16</f>
        <v>2744026994</v>
      </c>
    </row>
    <row r="98" spans="1:20" ht="15.75" customHeight="1" x14ac:dyDescent="0.25"/>
    <row r="99" spans="1:20" ht="15" customHeight="1" x14ac:dyDescent="0.25">
      <c r="D99" s="538" t="s">
        <v>74</v>
      </c>
      <c r="E99" s="538"/>
      <c r="F99" s="538"/>
      <c r="G99" s="538"/>
      <c r="H99" s="538"/>
      <c r="I99" s="538"/>
      <c r="J99" s="538"/>
      <c r="K99" s="538"/>
      <c r="L99" s="538"/>
      <c r="M99" s="538"/>
      <c r="N99" s="538"/>
      <c r="O99" s="538"/>
      <c r="P99" s="538"/>
      <c r="Q99" s="538"/>
      <c r="R99" s="538"/>
      <c r="S99" s="538"/>
      <c r="T99" s="538"/>
    </row>
    <row r="100" spans="1:20" s="347" customFormat="1" ht="45" x14ac:dyDescent="0.25">
      <c r="B100" s="339"/>
      <c r="C100" s="339"/>
      <c r="D100" s="339" t="str">
        <f t="shared" ref="D100:G105" si="25">D78</f>
        <v>IPC TSP</v>
      </c>
      <c r="E100" s="339" t="str">
        <f t="shared" si="25"/>
        <v>NWE TSP</v>
      </c>
      <c r="F100" s="339" t="str">
        <f t="shared" si="25"/>
        <v>PAC TSP</v>
      </c>
      <c r="G100" s="339" t="str">
        <f t="shared" si="25"/>
        <v>PGE TSP</v>
      </c>
      <c r="H100" s="339"/>
      <c r="I100" s="339"/>
      <c r="J100" s="348" t="str">
        <f>J25</f>
        <v>NA</v>
      </c>
      <c r="K100" s="348" t="str">
        <f t="shared" ref="K100:T100" si="26">K25</f>
        <v>Q6 Incremental PAC BAA LSEs Load</v>
      </c>
      <c r="L100" s="348" t="str">
        <f t="shared" si="26"/>
        <v>NA</v>
      </c>
      <c r="M100" s="348" t="str">
        <f t="shared" si="26"/>
        <v>NA</v>
      </c>
      <c r="N100" s="348" t="str">
        <f t="shared" si="26"/>
        <v>NA</v>
      </c>
      <c r="O100" s="348" t="str">
        <f t="shared" si="26"/>
        <v>Q6 WY Wind (New)</v>
      </c>
      <c r="P100" s="348" t="str">
        <f t="shared" si="26"/>
        <v>Q6 Incremental WY Gen (Existing)</v>
      </c>
      <c r="Q100" s="348" t="str">
        <f t="shared" si="26"/>
        <v>NA</v>
      </c>
      <c r="R100" s="348" t="str">
        <f t="shared" si="26"/>
        <v>NA</v>
      </c>
      <c r="S100" s="348" t="str">
        <f t="shared" si="26"/>
        <v>NA</v>
      </c>
      <c r="T100" s="348" t="str">
        <f t="shared" si="26"/>
        <v>Capital Cost + Loss + Reserve Benefits</v>
      </c>
    </row>
    <row r="101" spans="1:20" x14ac:dyDescent="0.25">
      <c r="C101" s="2" t="str">
        <f>C79</f>
        <v>DFRTP</v>
      </c>
      <c r="D101" s="58">
        <f t="shared" si="25"/>
        <v>0</v>
      </c>
      <c r="E101" s="13">
        <f t="shared" si="25"/>
        <v>0</v>
      </c>
      <c r="F101" s="13">
        <f t="shared" si="25"/>
        <v>0</v>
      </c>
      <c r="G101" s="13">
        <f t="shared" si="25"/>
        <v>84846</v>
      </c>
      <c r="H101" s="13"/>
      <c r="I101" s="28" t="str">
        <f>C101</f>
        <v>DFRTP</v>
      </c>
      <c r="J101" s="8">
        <f>J79</f>
        <v>0</v>
      </c>
      <c r="K101" s="8">
        <f>K79</f>
        <v>138783317.96634665</v>
      </c>
      <c r="L101" s="8">
        <f t="shared" ref="L101:S101" si="27">L79</f>
        <v>0</v>
      </c>
      <c r="M101" s="8">
        <f t="shared" si="27"/>
        <v>0</v>
      </c>
      <c r="N101" s="8">
        <f t="shared" si="27"/>
        <v>0</v>
      </c>
      <c r="O101" s="8">
        <f t="shared" si="27"/>
        <v>54896512.440021567</v>
      </c>
      <c r="P101" s="8">
        <f t="shared" si="27"/>
        <v>84812027.64610073</v>
      </c>
      <c r="Q101" s="8">
        <f t="shared" si="27"/>
        <v>0</v>
      </c>
      <c r="R101" s="8">
        <f t="shared" si="27"/>
        <v>0</v>
      </c>
      <c r="S101" s="8">
        <f t="shared" si="27"/>
        <v>0</v>
      </c>
      <c r="T101" s="9">
        <f>SUM(D101:S101)</f>
        <v>278576704.05246896</v>
      </c>
    </row>
    <row r="102" spans="1:20" x14ac:dyDescent="0.25">
      <c r="C102" s="2" t="str">
        <f>C80</f>
        <v>CAC Scenario A</v>
      </c>
      <c r="D102" s="58">
        <f t="shared" si="25"/>
        <v>0</v>
      </c>
      <c r="E102" s="13">
        <f t="shared" si="25"/>
        <v>0</v>
      </c>
      <c r="F102" s="13">
        <f t="shared" si="25"/>
        <v>0</v>
      </c>
      <c r="G102" s="13">
        <f t="shared" si="25"/>
        <v>79959.62255824171</v>
      </c>
      <c r="H102" s="13"/>
      <c r="I102" s="28" t="str">
        <f t="shared" ref="I102:I105" si="28">C102</f>
        <v>CAC Scenario A</v>
      </c>
      <c r="J102" s="8">
        <f t="shared" ref="J102" si="29">J80</f>
        <v>0</v>
      </c>
      <c r="K102" s="8">
        <f t="shared" ref="K102:S102" si="30">K80</f>
        <v>138783317.96634665</v>
      </c>
      <c r="L102" s="8">
        <f t="shared" si="30"/>
        <v>0</v>
      </c>
      <c r="M102" s="8">
        <f t="shared" si="30"/>
        <v>0</v>
      </c>
      <c r="N102" s="8">
        <f t="shared" si="30"/>
        <v>0</v>
      </c>
      <c r="O102" s="8">
        <f t="shared" si="30"/>
        <v>54896512.440021567</v>
      </c>
      <c r="P102" s="8">
        <f t="shared" si="30"/>
        <v>84812027.64610073</v>
      </c>
      <c r="Q102" s="8">
        <f t="shared" si="30"/>
        <v>0</v>
      </c>
      <c r="R102" s="8">
        <f t="shared" si="30"/>
        <v>0</v>
      </c>
      <c r="S102" s="8">
        <f t="shared" si="30"/>
        <v>0</v>
      </c>
      <c r="T102" s="9">
        <f t="shared" ref="T102:T108" si="31">SUM(D102:S102)</f>
        <v>278571817.67502719</v>
      </c>
    </row>
    <row r="103" spans="1:20" x14ac:dyDescent="0.25">
      <c r="C103" s="2" t="str">
        <f>C81</f>
        <v>CAC Scenario B</v>
      </c>
      <c r="D103" s="58">
        <f t="shared" si="25"/>
        <v>0</v>
      </c>
      <c r="E103" s="13">
        <f t="shared" si="25"/>
        <v>0</v>
      </c>
      <c r="F103" s="13">
        <f t="shared" si="25"/>
        <v>0</v>
      </c>
      <c r="G103" s="13">
        <f t="shared" si="25"/>
        <v>79959.300169384107</v>
      </c>
      <c r="H103" s="13"/>
      <c r="I103" s="28" t="str">
        <f t="shared" si="28"/>
        <v>CAC Scenario B</v>
      </c>
      <c r="J103" s="8">
        <f t="shared" ref="J103" si="32">J81</f>
        <v>0</v>
      </c>
      <c r="K103" s="8">
        <f t="shared" ref="K103:S103" si="33">K81</f>
        <v>138783317.96634665</v>
      </c>
      <c r="L103" s="8">
        <f t="shared" si="33"/>
        <v>0</v>
      </c>
      <c r="M103" s="8">
        <f t="shared" si="33"/>
        <v>0</v>
      </c>
      <c r="N103" s="8">
        <f t="shared" si="33"/>
        <v>0</v>
      </c>
      <c r="O103" s="8">
        <f t="shared" si="33"/>
        <v>54896512.440021567</v>
      </c>
      <c r="P103" s="8">
        <f t="shared" si="33"/>
        <v>84812027.64610073</v>
      </c>
      <c r="Q103" s="8">
        <f t="shared" si="33"/>
        <v>0</v>
      </c>
      <c r="R103" s="8">
        <f t="shared" si="33"/>
        <v>0</v>
      </c>
      <c r="S103" s="8">
        <f t="shared" si="33"/>
        <v>0</v>
      </c>
      <c r="T103" s="9">
        <f t="shared" si="31"/>
        <v>278571817.35263836</v>
      </c>
    </row>
    <row r="104" spans="1:20" x14ac:dyDescent="0.25">
      <c r="C104" s="2" t="str">
        <f>C82</f>
        <v>CAC Scenario C</v>
      </c>
      <c r="D104" s="58">
        <f t="shared" si="25"/>
        <v>0</v>
      </c>
      <c r="E104" s="13">
        <f t="shared" si="25"/>
        <v>0</v>
      </c>
      <c r="F104" s="13">
        <f t="shared" si="25"/>
        <v>0</v>
      </c>
      <c r="G104" s="13">
        <f t="shared" si="25"/>
        <v>53306.313472522423</v>
      </c>
      <c r="H104" s="13"/>
      <c r="I104" s="28" t="str">
        <f t="shared" si="28"/>
        <v>CAC Scenario C</v>
      </c>
      <c r="J104" s="8">
        <f t="shared" ref="J104" si="34">J82</f>
        <v>0</v>
      </c>
      <c r="K104" s="8">
        <f t="shared" ref="K104:S104" si="35">K82</f>
        <v>138783317.96634665</v>
      </c>
      <c r="L104" s="8">
        <f t="shared" si="35"/>
        <v>0</v>
      </c>
      <c r="M104" s="8">
        <f t="shared" si="35"/>
        <v>0</v>
      </c>
      <c r="N104" s="8">
        <f t="shared" si="35"/>
        <v>0</v>
      </c>
      <c r="O104" s="8">
        <f t="shared" si="35"/>
        <v>37187263.171689659</v>
      </c>
      <c r="P104" s="8">
        <f t="shared" si="35"/>
        <v>102521276.91443264</v>
      </c>
      <c r="Q104" s="8">
        <f t="shared" si="35"/>
        <v>0</v>
      </c>
      <c r="R104" s="8">
        <f t="shared" si="35"/>
        <v>0</v>
      </c>
      <c r="S104" s="8">
        <f t="shared" si="35"/>
        <v>0</v>
      </c>
      <c r="T104" s="9">
        <f t="shared" si="31"/>
        <v>278545164.36594146</v>
      </c>
    </row>
    <row r="105" spans="1:20" x14ac:dyDescent="0.25">
      <c r="C105" s="2" t="str">
        <f>C83</f>
        <v>CAC Scenario D</v>
      </c>
      <c r="D105" s="82">
        <f t="shared" si="25"/>
        <v>0</v>
      </c>
      <c r="E105" s="83">
        <f t="shared" si="25"/>
        <v>0</v>
      </c>
      <c r="F105" s="83">
        <f t="shared" si="25"/>
        <v>0</v>
      </c>
      <c r="G105" s="83">
        <f t="shared" si="25"/>
        <v>-2.2647641599178314E-3</v>
      </c>
      <c r="H105" s="83"/>
      <c r="I105" s="28" t="str">
        <f t="shared" si="28"/>
        <v>CAC Scenario D</v>
      </c>
      <c r="J105" s="8">
        <f t="shared" ref="J105" si="36">J83</f>
        <v>0</v>
      </c>
      <c r="K105" s="8">
        <f t="shared" ref="K105:S105" si="37">K83</f>
        <v>138783317.96634665</v>
      </c>
      <c r="L105" s="8">
        <f t="shared" si="37"/>
        <v>0</v>
      </c>
      <c r="M105" s="8">
        <f t="shared" si="37"/>
        <v>0</v>
      </c>
      <c r="N105" s="8">
        <f t="shared" si="37"/>
        <v>0</v>
      </c>
      <c r="O105" s="8">
        <f t="shared" si="37"/>
        <v>72804145.617365435</v>
      </c>
      <c r="P105" s="8">
        <f t="shared" si="37"/>
        <v>66904394.468756877</v>
      </c>
      <c r="Q105" s="8">
        <f t="shared" si="37"/>
        <v>0</v>
      </c>
      <c r="R105" s="8">
        <f t="shared" si="37"/>
        <v>0</v>
      </c>
      <c r="S105" s="8">
        <f t="shared" si="37"/>
        <v>0</v>
      </c>
      <c r="T105" s="9">
        <f t="shared" si="31"/>
        <v>278491858.05020416</v>
      </c>
    </row>
    <row r="106" spans="1:20" x14ac:dyDescent="0.25">
      <c r="A106" s="39"/>
      <c r="B106" s="217" t="s">
        <v>130</v>
      </c>
      <c r="C106" s="355" t="s">
        <v>129</v>
      </c>
      <c r="D106" s="219">
        <f t="shared" ref="D106:G106" si="38">AVERAGE(D101:D105)</f>
        <v>0</v>
      </c>
      <c r="E106" s="220">
        <f t="shared" si="38"/>
        <v>0</v>
      </c>
      <c r="F106" s="220">
        <f t="shared" si="38"/>
        <v>0</v>
      </c>
      <c r="G106" s="220">
        <f t="shared" si="38"/>
        <v>59614.246787076816</v>
      </c>
      <c r="H106" s="220"/>
      <c r="I106" s="218" t="str">
        <f>B106</f>
        <v>Average Benefits</v>
      </c>
      <c r="J106" s="220">
        <f>AVERAGE(J101:J105)</f>
        <v>0</v>
      </c>
      <c r="K106" s="220">
        <f t="shared" ref="K106:S106" si="39">AVERAGE(K101:K105)</f>
        <v>138783317.96634665</v>
      </c>
      <c r="L106" s="220">
        <f t="shared" si="39"/>
        <v>0</v>
      </c>
      <c r="M106" s="220">
        <f t="shared" si="39"/>
        <v>0</v>
      </c>
      <c r="N106" s="220">
        <f t="shared" si="39"/>
        <v>0</v>
      </c>
      <c r="O106" s="220">
        <f t="shared" si="39"/>
        <v>54936189.221823953</v>
      </c>
      <c r="P106" s="220">
        <f t="shared" si="39"/>
        <v>84772350.864298329</v>
      </c>
      <c r="Q106" s="220">
        <f t="shared" si="39"/>
        <v>0</v>
      </c>
      <c r="R106" s="220">
        <f t="shared" si="39"/>
        <v>0</v>
      </c>
      <c r="S106" s="220">
        <f t="shared" si="39"/>
        <v>0</v>
      </c>
      <c r="T106" s="9">
        <f t="shared" si="31"/>
        <v>278551472.29925603</v>
      </c>
    </row>
    <row r="107" spans="1:20" x14ac:dyDescent="0.25">
      <c r="A107" s="39"/>
      <c r="B107" s="88" t="s">
        <v>92</v>
      </c>
      <c r="C107" s="190">
        <f>Planning!C83</f>
        <v>0.14402265988792864</v>
      </c>
      <c r="D107" s="178"/>
      <c r="E107" s="178"/>
      <c r="F107" s="178"/>
      <c r="G107" s="178"/>
      <c r="H107" s="178"/>
      <c r="I107" s="89"/>
      <c r="J107" s="39"/>
      <c r="K107" s="39"/>
      <c r="L107" s="39"/>
      <c r="M107" s="39"/>
      <c r="N107" s="39"/>
      <c r="O107" s="39"/>
      <c r="P107" s="39"/>
      <c r="Q107" s="39"/>
      <c r="R107" s="39"/>
      <c r="S107" s="39"/>
      <c r="T107" s="9"/>
    </row>
    <row r="108" spans="1:20" x14ac:dyDescent="0.25">
      <c r="A108" s="39"/>
      <c r="B108" s="88" t="s">
        <v>131</v>
      </c>
      <c r="C108" s="191" t="str">
        <f>"= "&amp;B106&amp;"/"&amp;TEXT(C107,"##.0%")</f>
        <v>= Average Benefits/14.4%</v>
      </c>
      <c r="D108" s="89">
        <f>D106/$C107</f>
        <v>0</v>
      </c>
      <c r="E108" s="89">
        <f>E106/$C107</f>
        <v>0</v>
      </c>
      <c r="F108" s="89">
        <f>F106/$C107</f>
        <v>0</v>
      </c>
      <c r="G108" s="89">
        <f>G106/$C107</f>
        <v>413922.68989800417</v>
      </c>
      <c r="H108" s="89"/>
      <c r="I108" s="89"/>
      <c r="J108" s="89">
        <f>J106/$C107</f>
        <v>0</v>
      </c>
      <c r="K108" s="89">
        <f>K106/$C107</f>
        <v>963621405.6478405</v>
      </c>
      <c r="L108" s="89">
        <f t="shared" ref="L108:S108" si="40">L106/$C107</f>
        <v>0</v>
      </c>
      <c r="M108" s="89">
        <f t="shared" si="40"/>
        <v>0</v>
      </c>
      <c r="N108" s="89">
        <f t="shared" si="40"/>
        <v>0</v>
      </c>
      <c r="O108" s="89">
        <f t="shared" si="40"/>
        <v>381441290.31204253</v>
      </c>
      <c r="P108" s="89">
        <f t="shared" si="40"/>
        <v>588604258.04011679</v>
      </c>
      <c r="Q108" s="89">
        <f t="shared" si="40"/>
        <v>0</v>
      </c>
      <c r="R108" s="89">
        <f t="shared" si="40"/>
        <v>0</v>
      </c>
      <c r="S108" s="89">
        <f t="shared" si="40"/>
        <v>0</v>
      </c>
      <c r="T108" s="9">
        <f t="shared" si="31"/>
        <v>1934080876.6898978</v>
      </c>
    </row>
    <row r="109" spans="1:20" s="39" customFormat="1" x14ac:dyDescent="0.25">
      <c r="B109" s="88"/>
      <c r="D109" s="89"/>
      <c r="E109" s="89"/>
      <c r="F109" s="89"/>
      <c r="G109" s="89"/>
      <c r="H109" s="89"/>
      <c r="I109" s="89"/>
    </row>
    <row r="110" spans="1:20" s="39" customFormat="1" ht="72" customHeight="1" x14ac:dyDescent="0.25">
      <c r="B110" s="88"/>
    </row>
    <row r="111" spans="1:20" s="39" customFormat="1" x14ac:dyDescent="0.25">
      <c r="B111" s="88"/>
      <c r="D111" s="89"/>
      <c r="E111" s="89"/>
      <c r="F111" s="89"/>
      <c r="G111" s="89"/>
      <c r="H111" s="89"/>
      <c r="I111" s="89"/>
    </row>
    <row r="112" spans="1:20" s="39" customFormat="1" x14ac:dyDescent="0.25">
      <c r="B112" s="88"/>
      <c r="D112" s="89"/>
      <c r="E112" s="89"/>
      <c r="F112" s="89"/>
      <c r="G112" s="89"/>
      <c r="H112" s="89"/>
      <c r="I112" s="89"/>
    </row>
    <row r="113" spans="2:46" x14ac:dyDescent="0.25">
      <c r="B113" s="39"/>
      <c r="C113" s="192"/>
      <c r="D113" s="193" t="str">
        <f>D96</f>
        <v>Q6 2014$</v>
      </c>
      <c r="E113" s="191"/>
      <c r="F113" s="191"/>
      <c r="G113" s="191"/>
      <c r="H113" s="191"/>
      <c r="I113" s="191"/>
      <c r="J113" s="39"/>
      <c r="K113" s="39"/>
      <c r="L113" s="39"/>
      <c r="M113" s="39"/>
      <c r="N113" s="39"/>
      <c r="O113" s="39"/>
      <c r="P113" s="39"/>
      <c r="Q113" s="39"/>
      <c r="R113" s="39"/>
      <c r="S113" s="39"/>
      <c r="T113" s="39"/>
    </row>
    <row r="114" spans="2:46" x14ac:dyDescent="0.25">
      <c r="B114" s="39"/>
      <c r="C114" s="194" t="str">
        <f>C97</f>
        <v>Alternative Project</v>
      </c>
      <c r="D114" s="195">
        <f>D97</f>
        <v>2744026994</v>
      </c>
      <c r="E114" s="191"/>
      <c r="F114" s="191"/>
      <c r="G114" s="191"/>
      <c r="H114" s="191"/>
      <c r="I114" s="191"/>
      <c r="J114" s="39"/>
      <c r="K114" s="39"/>
      <c r="L114" s="39"/>
      <c r="M114" s="39"/>
      <c r="N114" s="39"/>
      <c r="O114" s="39"/>
      <c r="P114" s="39"/>
      <c r="Q114" s="39"/>
      <c r="R114" s="39"/>
      <c r="S114" s="39"/>
      <c r="T114" s="39"/>
    </row>
    <row r="115" spans="2:46" ht="15" customHeight="1" x14ac:dyDescent="0.25">
      <c r="B115" s="39"/>
      <c r="C115" s="39"/>
      <c r="D115" s="538" t="s">
        <v>75</v>
      </c>
      <c r="E115" s="538"/>
      <c r="F115" s="538"/>
      <c r="G115" s="538"/>
      <c r="H115" s="538"/>
      <c r="I115" s="538"/>
      <c r="J115" s="538"/>
      <c r="K115" s="538"/>
      <c r="L115" s="538"/>
      <c r="M115" s="538"/>
      <c r="N115" s="538"/>
      <c r="O115" s="538"/>
      <c r="P115" s="538"/>
      <c r="Q115" s="538"/>
      <c r="R115" s="538"/>
      <c r="S115" s="538"/>
      <c r="T115" s="538"/>
    </row>
    <row r="116" spans="2:46" s="347" customFormat="1" ht="45" x14ac:dyDescent="0.25">
      <c r="B116" s="349"/>
      <c r="C116" s="349"/>
      <c r="D116" s="350" t="str">
        <f>D100</f>
        <v>IPC TSP</v>
      </c>
      <c r="E116" s="350" t="str">
        <f>E100</f>
        <v>NWE TSP</v>
      </c>
      <c r="F116" s="350" t="str">
        <f>F100</f>
        <v>PAC TSP</v>
      </c>
      <c r="G116" s="350" t="str">
        <f>G100</f>
        <v>PGE TSP</v>
      </c>
      <c r="H116" s="350"/>
      <c r="I116" s="350"/>
      <c r="J116" s="351" t="str">
        <f t="shared" ref="J116:T116" si="41">J25</f>
        <v>NA</v>
      </c>
      <c r="K116" s="351" t="str">
        <f t="shared" si="41"/>
        <v>Q6 Incremental PAC BAA LSEs Load</v>
      </c>
      <c r="L116" s="351" t="str">
        <f t="shared" si="41"/>
        <v>NA</v>
      </c>
      <c r="M116" s="351" t="str">
        <f t="shared" si="41"/>
        <v>NA</v>
      </c>
      <c r="N116" s="351" t="str">
        <f t="shared" si="41"/>
        <v>NA</v>
      </c>
      <c r="O116" s="351" t="str">
        <f t="shared" si="41"/>
        <v>Q6 WY Wind (New)</v>
      </c>
      <c r="P116" s="351" t="str">
        <f t="shared" si="41"/>
        <v>Q6 Incremental WY Gen (Existing)</v>
      </c>
      <c r="Q116" s="351" t="str">
        <f t="shared" si="41"/>
        <v>NA</v>
      </c>
      <c r="R116" s="351" t="str">
        <f t="shared" si="41"/>
        <v>NA</v>
      </c>
      <c r="S116" s="351" t="str">
        <f t="shared" si="41"/>
        <v>NA</v>
      </c>
      <c r="T116" s="351" t="str">
        <f t="shared" si="41"/>
        <v>Capital Cost + Loss + Reserve Benefits</v>
      </c>
    </row>
    <row r="117" spans="2:46" x14ac:dyDescent="0.25">
      <c r="B117" s="39"/>
      <c r="C117" s="88" t="str">
        <f>B108</f>
        <v>TPV of Average Benefits</v>
      </c>
      <c r="D117" s="89">
        <f>D108</f>
        <v>0</v>
      </c>
      <c r="E117" s="89">
        <f>E108</f>
        <v>0</v>
      </c>
      <c r="F117" s="89">
        <f>F108</f>
        <v>0</v>
      </c>
      <c r="G117" s="89">
        <f>G108</f>
        <v>413922.68989800417</v>
      </c>
      <c r="H117" s="89"/>
      <c r="I117" s="88" t="str">
        <f>C117</f>
        <v>TPV of Average Benefits</v>
      </c>
      <c r="J117" s="89">
        <f>J108</f>
        <v>0</v>
      </c>
      <c r="K117" s="89">
        <f>K108</f>
        <v>963621405.6478405</v>
      </c>
      <c r="L117" s="89">
        <f t="shared" ref="L117:S117" si="42">L108</f>
        <v>0</v>
      </c>
      <c r="M117" s="89">
        <f t="shared" si="42"/>
        <v>0</v>
      </c>
      <c r="N117" s="89">
        <f t="shared" si="42"/>
        <v>0</v>
      </c>
      <c r="O117" s="89">
        <f t="shared" si="42"/>
        <v>381441290.31204253</v>
      </c>
      <c r="P117" s="89">
        <f t="shared" si="42"/>
        <v>588604258.04011679</v>
      </c>
      <c r="Q117" s="89">
        <f t="shared" si="42"/>
        <v>0</v>
      </c>
      <c r="R117" s="89">
        <f t="shared" si="42"/>
        <v>0</v>
      </c>
      <c r="S117" s="89">
        <f t="shared" si="42"/>
        <v>0</v>
      </c>
      <c r="T117" s="89">
        <f>SUM(D117:S117)</f>
        <v>1934080876.6898978</v>
      </c>
      <c r="W117" s="537"/>
      <c r="X117" s="536" t="str">
        <f>G116</f>
        <v>PGE TSP</v>
      </c>
      <c r="Y117" s="536" t="str">
        <f>K116</f>
        <v>Q6 Incremental PAC BAA LSEs Load</v>
      </c>
      <c r="Z117" s="536" t="str">
        <f>O116</f>
        <v>Q6 WY Wind (New)</v>
      </c>
      <c r="AA117" s="536" t="str">
        <f>P116</f>
        <v>Q6 Incremental WY Gen (Existing)</v>
      </c>
    </row>
    <row r="118" spans="2:46" x14ac:dyDescent="0.25">
      <c r="B118" s="39"/>
      <c r="C118" s="88"/>
      <c r="D118" s="89"/>
      <c r="E118" s="89"/>
      <c r="F118" s="89"/>
      <c r="G118" s="89"/>
      <c r="H118" s="89"/>
      <c r="I118" s="88"/>
      <c r="J118" s="89"/>
      <c r="K118" s="89"/>
      <c r="L118" s="89"/>
      <c r="M118" s="89"/>
      <c r="N118" s="89"/>
      <c r="O118" s="89"/>
      <c r="P118" s="89"/>
      <c r="Q118" s="89"/>
      <c r="R118" s="89"/>
      <c r="S118" s="89"/>
      <c r="T118" s="89"/>
      <c r="W118" s="537"/>
      <c r="X118" s="536"/>
      <c r="Y118" s="536"/>
      <c r="Z118" s="536"/>
      <c r="AA118" s="536"/>
      <c r="AC118" s="28"/>
      <c r="AD118" s="28"/>
      <c r="AE118" s="28"/>
      <c r="AH118" s="28"/>
      <c r="AI118" s="28"/>
      <c r="AJ118" s="28"/>
      <c r="AK118" s="28"/>
      <c r="AL118" s="28"/>
      <c r="AM118" s="28"/>
      <c r="AN118" s="28"/>
      <c r="AO118" s="28"/>
      <c r="AP118" s="28"/>
      <c r="AQ118" s="28"/>
      <c r="AR118" s="28"/>
      <c r="AS118" s="28"/>
      <c r="AT118" s="28"/>
    </row>
    <row r="119" spans="2:46" x14ac:dyDescent="0.25">
      <c r="B119" s="551" t="s">
        <v>21</v>
      </c>
      <c r="C119" s="2" t="s">
        <v>63</v>
      </c>
      <c r="D119" s="80">
        <f>D117/$T$117</f>
        <v>0</v>
      </c>
      <c r="E119" s="80">
        <f>E117/$T$117</f>
        <v>0</v>
      </c>
      <c r="F119" s="80">
        <f t="shared" ref="F119" si="43">F117/$T$117</f>
        <v>0</v>
      </c>
      <c r="G119" s="80">
        <f>G117/$T$117</f>
        <v>2.1401519186023716E-4</v>
      </c>
      <c r="H119" s="80"/>
      <c r="I119" s="2" t="str">
        <f t="shared" ref="I119:I124" si="44">C119</f>
        <v>Proportion benefit distribution</v>
      </c>
      <c r="J119" s="80">
        <f t="shared" ref="J119:K119" si="45">J117/$T$117</f>
        <v>0</v>
      </c>
      <c r="K119" s="80">
        <f t="shared" si="45"/>
        <v>0.49823221834292686</v>
      </c>
      <c r="L119" s="80">
        <f t="shared" ref="L119" si="46">L117/$T$117</f>
        <v>0</v>
      </c>
      <c r="M119" s="80">
        <f t="shared" ref="M119" si="47">M117/$T$117</f>
        <v>0</v>
      </c>
      <c r="N119" s="80">
        <f t="shared" ref="N119" si="48">N117/$T$117</f>
        <v>0</v>
      </c>
      <c r="O119" s="80">
        <f t="shared" ref="O119" si="49">O117/$T$117</f>
        <v>0.19722096159952943</v>
      </c>
      <c r="P119" s="80">
        <f t="shared" ref="P119" si="50">P117/$T$117</f>
        <v>0.30433280486568354</v>
      </c>
      <c r="Q119" s="80">
        <f t="shared" ref="Q119" si="51">Q117/$T$117</f>
        <v>0</v>
      </c>
      <c r="R119" s="80">
        <f t="shared" ref="R119" si="52">R117/$T$117</f>
        <v>0</v>
      </c>
      <c r="S119" s="80">
        <f t="shared" ref="S119" si="53">S117/$T$117</f>
        <v>0</v>
      </c>
      <c r="T119" s="80">
        <f>SUM(D119:S119)</f>
        <v>1</v>
      </c>
      <c r="W119" s="2" t="str">
        <f>B119</f>
        <v>A</v>
      </c>
      <c r="X119" s="8">
        <f>G120</f>
        <v>587263.46359057981</v>
      </c>
      <c r="Y119" s="8">
        <f>K120</f>
        <v>1367162656.4134932</v>
      </c>
      <c r="Z119" s="8">
        <f>O120</f>
        <v>541179642.41174614</v>
      </c>
      <c r="AA119" s="8">
        <f>P120</f>
        <v>835097431.7111702</v>
      </c>
      <c r="AC119" s="8"/>
      <c r="AD119" s="8"/>
      <c r="AE119" s="8"/>
      <c r="AH119" s="8"/>
      <c r="AI119" s="8"/>
      <c r="AJ119" s="8"/>
      <c r="AK119" s="8"/>
      <c r="AL119" s="8"/>
      <c r="AM119" s="8"/>
      <c r="AN119" s="8"/>
      <c r="AO119" s="8"/>
      <c r="AP119" s="8"/>
      <c r="AQ119" s="8"/>
      <c r="AR119" s="8"/>
      <c r="AS119" s="8"/>
      <c r="AT119" s="8"/>
    </row>
    <row r="120" spans="2:46" x14ac:dyDescent="0.25">
      <c r="B120" s="551"/>
      <c r="C120" s="2" t="s">
        <v>71</v>
      </c>
      <c r="D120" s="8">
        <f>D117/$T117*$D$97</f>
        <v>0</v>
      </c>
      <c r="E120" s="8">
        <f t="shared" ref="E120:G120" si="54">E117/$T117*$D$97</f>
        <v>0</v>
      </c>
      <c r="F120" s="8">
        <f t="shared" si="54"/>
        <v>0</v>
      </c>
      <c r="G120" s="8">
        <f t="shared" si="54"/>
        <v>587263.46359057981</v>
      </c>
      <c r="H120" s="8"/>
      <c r="I120" s="2" t="str">
        <f t="shared" si="44"/>
        <v>Capital Cost Portional Allocation</v>
      </c>
      <c r="J120" s="8">
        <f t="shared" ref="J120" si="55">J117/$T117*$D$97</f>
        <v>0</v>
      </c>
      <c r="K120" s="8">
        <f t="shared" ref="K120:S120" si="56">K117/$T117*$D$97</f>
        <v>1367162656.4134932</v>
      </c>
      <c r="L120" s="8">
        <f t="shared" si="56"/>
        <v>0</v>
      </c>
      <c r="M120" s="8">
        <f t="shared" si="56"/>
        <v>0</v>
      </c>
      <c r="N120" s="8">
        <f t="shared" si="56"/>
        <v>0</v>
      </c>
      <c r="O120" s="8">
        <f t="shared" si="56"/>
        <v>541179642.41174614</v>
      </c>
      <c r="P120" s="8">
        <f t="shared" si="56"/>
        <v>835097431.7111702</v>
      </c>
      <c r="Q120" s="8">
        <f t="shared" si="56"/>
        <v>0</v>
      </c>
      <c r="R120" s="8">
        <f t="shared" si="56"/>
        <v>0</v>
      </c>
      <c r="S120" s="8">
        <f t="shared" si="56"/>
        <v>0</v>
      </c>
      <c r="T120" s="89">
        <f>SUM(D120:S120)</f>
        <v>2744026994</v>
      </c>
      <c r="W120" s="2" t="str">
        <f>B122</f>
        <v>B</v>
      </c>
      <c r="X120" s="8">
        <f>G122</f>
        <v>376293.35445273103</v>
      </c>
      <c r="Y120" s="8">
        <f>K122</f>
        <v>876019459.67985487</v>
      </c>
      <c r="Z120" s="8">
        <f>O122</f>
        <v>346764809.37458408</v>
      </c>
      <c r="AA120" s="8">
        <f>P122</f>
        <v>535094780.03646976</v>
      </c>
    </row>
    <row r="121" spans="2:46" x14ac:dyDescent="0.25">
      <c r="B121" s="360"/>
      <c r="C121" s="2"/>
      <c r="D121" s="8"/>
      <c r="E121" s="8"/>
      <c r="F121" s="8"/>
      <c r="G121" s="8"/>
      <c r="H121" s="8"/>
      <c r="I121" s="2"/>
      <c r="T121" s="28"/>
    </row>
    <row r="122" spans="2:46" ht="13.5" customHeight="1" x14ac:dyDescent="0.25">
      <c r="B122" s="360" t="s">
        <v>22</v>
      </c>
      <c r="C122" s="2" t="str">
        <f>C117&amp;"/1.10"</f>
        <v>TPV of Average Benefits/1.10</v>
      </c>
      <c r="D122" s="8">
        <f>D117/1.1</f>
        <v>0</v>
      </c>
      <c r="E122" s="8">
        <f>E117/1.1</f>
        <v>0</v>
      </c>
      <c r="F122" s="8">
        <f>F117/1.1</f>
        <v>0</v>
      </c>
      <c r="G122" s="8">
        <f>G117/1.1</f>
        <v>376293.35445273103</v>
      </c>
      <c r="H122" s="8"/>
      <c r="I122" s="2" t="str">
        <f t="shared" si="44"/>
        <v>TPV of Average Benefits/1.10</v>
      </c>
      <c r="J122" s="8">
        <f>J117/1.1</f>
        <v>0</v>
      </c>
      <c r="K122" s="8">
        <f>K117/1.1</f>
        <v>876019459.67985487</v>
      </c>
      <c r="L122" s="8">
        <f t="shared" ref="L122:S122" si="57">L117/1.1</f>
        <v>0</v>
      </c>
      <c r="M122" s="8">
        <f t="shared" si="57"/>
        <v>0</v>
      </c>
      <c r="N122" s="8">
        <f t="shared" si="57"/>
        <v>0</v>
      </c>
      <c r="O122" s="8">
        <f>O117/1.1</f>
        <v>346764809.37458408</v>
      </c>
      <c r="P122" s="8">
        <f t="shared" si="57"/>
        <v>535094780.03646976</v>
      </c>
      <c r="Q122" s="8">
        <f t="shared" si="57"/>
        <v>0</v>
      </c>
      <c r="R122" s="8">
        <f t="shared" si="57"/>
        <v>0</v>
      </c>
      <c r="S122" s="8">
        <f t="shared" si="57"/>
        <v>0</v>
      </c>
      <c r="T122" s="89">
        <f>SUM(D122:S122)</f>
        <v>1758255342.4453614</v>
      </c>
      <c r="AC122" s="8"/>
      <c r="AD122" s="8"/>
      <c r="AE122" s="8"/>
      <c r="AH122" s="8"/>
      <c r="AI122" s="8"/>
      <c r="AJ122" s="8"/>
      <c r="AK122" s="8"/>
      <c r="AL122" s="8"/>
      <c r="AM122" s="8"/>
      <c r="AN122" s="8"/>
      <c r="AO122" s="8"/>
      <c r="AP122" s="8"/>
      <c r="AQ122" s="8"/>
      <c r="AR122" s="8"/>
      <c r="AS122" s="8"/>
      <c r="AT122" s="8"/>
    </row>
    <row r="123" spans="2:46" x14ac:dyDescent="0.25">
      <c r="D123" s="12"/>
      <c r="E123" s="12"/>
      <c r="F123" s="12"/>
      <c r="G123" s="12"/>
      <c r="H123" s="12"/>
      <c r="J123" s="28"/>
      <c r="K123" s="28"/>
      <c r="L123" s="28"/>
      <c r="M123" s="28"/>
      <c r="N123" s="28"/>
      <c r="O123" s="28"/>
      <c r="P123" s="28"/>
      <c r="Q123" s="28"/>
      <c r="R123" s="28"/>
      <c r="S123" s="28"/>
      <c r="T123" s="28"/>
    </row>
    <row r="124" spans="2:46" x14ac:dyDescent="0.25">
      <c r="C124" s="443" t="s">
        <v>123</v>
      </c>
      <c r="D124" s="444">
        <f>MIN(D120,D122)</f>
        <v>0</v>
      </c>
      <c r="E124" s="444">
        <f>MIN(E120,E122)</f>
        <v>0</v>
      </c>
      <c r="F124" s="444">
        <f>MIN(F120,F122)</f>
        <v>0</v>
      </c>
      <c r="G124" s="444">
        <f>MIN(G120,G122)</f>
        <v>376293.35445273103</v>
      </c>
      <c r="H124" s="444"/>
      <c r="I124" s="443" t="str">
        <f t="shared" si="44"/>
        <v>Allocated costs lesser of A or B above</v>
      </c>
      <c r="J124" s="444">
        <f>MIN(J120,J122)</f>
        <v>0</v>
      </c>
      <c r="K124" s="444">
        <f>MIN(K120,K122)</f>
        <v>876019459.67985487</v>
      </c>
      <c r="L124" s="444">
        <f t="shared" ref="L124:S124" si="58">MIN(L120,L122)</f>
        <v>0</v>
      </c>
      <c r="M124" s="444">
        <f t="shared" si="58"/>
        <v>0</v>
      </c>
      <c r="N124" s="444">
        <f t="shared" si="58"/>
        <v>0</v>
      </c>
      <c r="O124" s="444">
        <f t="shared" si="58"/>
        <v>346764809.37458408</v>
      </c>
      <c r="P124" s="444">
        <f t="shared" si="58"/>
        <v>535094780.03646976</v>
      </c>
      <c r="Q124" s="444">
        <f t="shared" si="58"/>
        <v>0</v>
      </c>
      <c r="R124" s="444">
        <f t="shared" si="58"/>
        <v>0</v>
      </c>
      <c r="S124" s="444">
        <f t="shared" si="58"/>
        <v>0</v>
      </c>
      <c r="T124" s="445">
        <f>SUM(D124:S124)</f>
        <v>1758255342.4453614</v>
      </c>
    </row>
    <row r="125" spans="2:46" x14ac:dyDescent="0.25">
      <c r="C125" s="447" t="s">
        <v>150</v>
      </c>
      <c r="D125" s="446" t="str">
        <f>IF(AND(D124&lt;&gt;0,D124=D120),"A",IF(D124=0,"","B"))</f>
        <v/>
      </c>
      <c r="E125" s="446" t="str">
        <f t="shared" ref="E125:G125" si="59">IF(AND(E124&lt;&gt;0,E124=E120),"A",IF(E124=0,"","B"))</f>
        <v/>
      </c>
      <c r="F125" s="446" t="str">
        <f t="shared" si="59"/>
        <v/>
      </c>
      <c r="G125" s="446" t="str">
        <f t="shared" si="59"/>
        <v>B</v>
      </c>
      <c r="H125" s="446"/>
      <c r="I125" s="446"/>
      <c r="J125" s="446" t="str">
        <f t="shared" ref="J125" si="60">IF(AND(J124&lt;&gt;0,J124=J120),"A",IF(J124=0,"","B"))</f>
        <v/>
      </c>
      <c r="K125" s="446" t="str">
        <f t="shared" ref="K125" si="61">IF(AND(K124&lt;&gt;0,K124=K120),"A",IF(K124=0,"","B"))</f>
        <v>B</v>
      </c>
      <c r="L125" s="446" t="str">
        <f t="shared" ref="L125" si="62">IF(AND(L124&lt;&gt;0,L124=L120),"A",IF(L124=0,"","B"))</f>
        <v/>
      </c>
      <c r="M125" s="446" t="str">
        <f t="shared" ref="M125" si="63">IF(AND(M124&lt;&gt;0,M124=M120),"A",IF(M124=0,"","B"))</f>
        <v/>
      </c>
      <c r="N125" s="446" t="str">
        <f t="shared" ref="N125" si="64">IF(AND(N124&lt;&gt;0,N124=N120),"A",IF(N124=0,"","B"))</f>
        <v/>
      </c>
      <c r="O125" s="446" t="str">
        <f t="shared" ref="O125" si="65">IF(AND(O124&lt;&gt;0,O124=O120),"A",IF(O124=0,"","B"))</f>
        <v>B</v>
      </c>
      <c r="P125" s="446" t="str">
        <f t="shared" ref="P125" si="66">IF(AND(P124&lt;&gt;0,P124=P120),"A",IF(P124=0,"","B"))</f>
        <v>B</v>
      </c>
      <c r="Q125" s="446" t="str">
        <f t="shared" ref="Q125" si="67">IF(AND(Q124&lt;&gt;0,Q124=Q120),"A",IF(Q124=0,"","B"))</f>
        <v/>
      </c>
      <c r="R125" s="446" t="str">
        <f t="shared" ref="R125" si="68">IF(AND(R124&lt;&gt;0,R124=R120),"A",IF(R124=0,"","B"))</f>
        <v/>
      </c>
      <c r="S125" s="446" t="str">
        <f t="shared" ref="S125" si="69">IF(AND(S124&lt;&gt;0,S124=S120),"A",IF(S124=0,"","B"))</f>
        <v/>
      </c>
      <c r="T125" s="446"/>
    </row>
    <row r="126" spans="2:46" x14ac:dyDescent="0.25">
      <c r="C126" s="50"/>
      <c r="D126" s="50"/>
      <c r="E126" s="50"/>
      <c r="F126" s="50"/>
      <c r="G126" s="50"/>
      <c r="H126" s="50"/>
      <c r="I126" s="50"/>
      <c r="T126" s="28"/>
    </row>
    <row r="127" spans="2:46" ht="15" customHeight="1" x14ac:dyDescent="0.25">
      <c r="C127" s="50"/>
      <c r="D127" s="538" t="s">
        <v>81</v>
      </c>
      <c r="E127" s="538"/>
      <c r="F127" s="538"/>
      <c r="G127" s="538"/>
      <c r="H127" s="538"/>
      <c r="I127" s="538"/>
      <c r="J127" s="538"/>
      <c r="K127" s="538"/>
      <c r="L127" s="538"/>
      <c r="M127" s="538"/>
      <c r="N127" s="538"/>
      <c r="O127" s="538"/>
      <c r="P127" s="538"/>
      <c r="Q127" s="538"/>
      <c r="R127" s="538"/>
      <c r="S127" s="538"/>
      <c r="T127" s="8" t="s">
        <v>58</v>
      </c>
      <c r="U127" s="28" t="s">
        <v>58</v>
      </c>
    </row>
    <row r="128" spans="2:46" s="347" customFormat="1" ht="45" x14ac:dyDescent="0.25">
      <c r="C128" s="339"/>
      <c r="D128" s="352" t="str">
        <f>D116</f>
        <v>IPC TSP</v>
      </c>
      <c r="E128" s="352" t="str">
        <f>E116</f>
        <v>NWE TSP</v>
      </c>
      <c r="F128" s="352" t="str">
        <f>F116</f>
        <v>PAC TSP</v>
      </c>
      <c r="G128" s="352" t="str">
        <f>G116</f>
        <v>PGE TSP</v>
      </c>
      <c r="H128" s="352"/>
      <c r="J128" s="348" t="str">
        <f t="shared" ref="J128:S128" si="70">J116</f>
        <v>NA</v>
      </c>
      <c r="K128" s="348" t="str">
        <f t="shared" si="70"/>
        <v>Q6 Incremental PAC BAA LSEs Load</v>
      </c>
      <c r="L128" s="348" t="str">
        <f t="shared" si="70"/>
        <v>NA</v>
      </c>
      <c r="M128" s="348" t="str">
        <f t="shared" si="70"/>
        <v>NA</v>
      </c>
      <c r="N128" s="348" t="str">
        <f t="shared" si="70"/>
        <v>NA</v>
      </c>
      <c r="O128" s="348" t="str">
        <f t="shared" si="70"/>
        <v>Q6 WY Wind (New)</v>
      </c>
      <c r="P128" s="348" t="str">
        <f t="shared" si="70"/>
        <v>Q6 Incremental WY Gen (Existing)</v>
      </c>
      <c r="Q128" s="348" t="str">
        <f t="shared" si="70"/>
        <v>NA</v>
      </c>
      <c r="R128" s="348" t="str">
        <f t="shared" si="70"/>
        <v>NA</v>
      </c>
      <c r="S128" s="348" t="str">
        <f t="shared" si="70"/>
        <v>NA</v>
      </c>
      <c r="T128" s="352" t="s">
        <v>24</v>
      </c>
      <c r="U128" s="339" t="s">
        <v>59</v>
      </c>
    </row>
    <row r="129" spans="1:22" x14ac:dyDescent="0.25">
      <c r="C129" s="2" t="s">
        <v>53</v>
      </c>
      <c r="D129" s="11">
        <f>ROUND(IF(D124&lt;&gt;0,D117/D124,0),2)</f>
        <v>0</v>
      </c>
      <c r="E129" s="11">
        <f>ROUND(IF(E124&lt;&gt;0,E117/E124,0),2)</f>
        <v>0</v>
      </c>
      <c r="F129" s="11">
        <f>ROUND(IF(F124&lt;&gt;0,F117/F124,0),2)</f>
        <v>0</v>
      </c>
      <c r="G129" s="11">
        <f>ROUND(IF(G124&lt;&gt;0,G117/G124,0),2)</f>
        <v>1.1000000000000001</v>
      </c>
      <c r="H129" s="11"/>
      <c r="I129" s="236" t="str">
        <f>C129</f>
        <v>Ratio adjusted net benefit to allocated cost</v>
      </c>
      <c r="J129" s="11">
        <f t="shared" ref="J129:S129" si="71">ROUND(IF(J124&lt;&gt;0,J117/J124,0),2)</f>
        <v>0</v>
      </c>
      <c r="K129" s="11">
        <f t="shared" si="71"/>
        <v>1.1000000000000001</v>
      </c>
      <c r="L129" s="11">
        <f t="shared" si="71"/>
        <v>0</v>
      </c>
      <c r="M129" s="11">
        <f t="shared" si="71"/>
        <v>0</v>
      </c>
      <c r="N129" s="11">
        <f t="shared" si="71"/>
        <v>0</v>
      </c>
      <c r="O129" s="11">
        <f t="shared" si="71"/>
        <v>1.1000000000000001</v>
      </c>
      <c r="P129" s="11">
        <f t="shared" si="71"/>
        <v>1.1000000000000001</v>
      </c>
      <c r="Q129" s="11">
        <f t="shared" si="71"/>
        <v>0</v>
      </c>
      <c r="R129" s="11">
        <f t="shared" si="71"/>
        <v>0</v>
      </c>
      <c r="S129" s="11">
        <f t="shared" si="71"/>
        <v>0</v>
      </c>
      <c r="T129" s="196">
        <f>COUNT(D129:S129)</f>
        <v>14</v>
      </c>
      <c r="U129" s="39"/>
    </row>
    <row r="130" spans="1:22" x14ac:dyDescent="0.25">
      <c r="C130" s="2" t="s">
        <v>56</v>
      </c>
      <c r="D130" s="12" t="str">
        <f>IF(D129&lt;=1.1,"Yes","No")</f>
        <v>Yes</v>
      </c>
      <c r="E130" s="28" t="str">
        <f>IF(E129&lt;=1.1,"Yes","No")</f>
        <v>Yes</v>
      </c>
      <c r="F130" s="28" t="str">
        <f>IF(F129&lt;=1.1,"Yes","No")</f>
        <v>Yes</v>
      </c>
      <c r="G130" s="28" t="str">
        <f>IF(G129&lt;=1.1,"Yes","No")</f>
        <v>Yes</v>
      </c>
      <c r="H130" s="28"/>
      <c r="I130" s="236" t="str">
        <f t="shared" ref="I130:I132" si="72">C130</f>
        <v>Ratio &lt; = 1.10?</v>
      </c>
      <c r="J130" s="28" t="str">
        <f>IF(J129&lt;=1.1,"Yes","No")</f>
        <v>Yes</v>
      </c>
      <c r="K130" s="28" t="str">
        <f>IF(K129&lt;=1.1,"Yes","No")</f>
        <v>Yes</v>
      </c>
      <c r="L130" s="28" t="str">
        <f t="shared" ref="L130:S130" si="73">IF(L129&lt;=1.1,"Yes","No")</f>
        <v>Yes</v>
      </c>
      <c r="M130" s="28" t="str">
        <f t="shared" si="73"/>
        <v>Yes</v>
      </c>
      <c r="N130" s="28" t="str">
        <f t="shared" si="73"/>
        <v>Yes</v>
      </c>
      <c r="O130" s="28" t="str">
        <f t="shared" si="73"/>
        <v>Yes</v>
      </c>
      <c r="P130" s="28" t="str">
        <f t="shared" si="73"/>
        <v>Yes</v>
      </c>
      <c r="Q130" s="28" t="str">
        <f t="shared" si="73"/>
        <v>Yes</v>
      </c>
      <c r="R130" s="28" t="str">
        <f t="shared" si="73"/>
        <v>Yes</v>
      </c>
      <c r="S130" s="28" t="str">
        <f t="shared" si="73"/>
        <v>Yes</v>
      </c>
      <c r="T130" s="39"/>
      <c r="U130" s="196">
        <f>COUNTIF(D130:S130,"Yes")</f>
        <v>14</v>
      </c>
    </row>
    <row r="131" spans="1:22" x14ac:dyDescent="0.25">
      <c r="C131" s="2"/>
      <c r="D131" s="28"/>
      <c r="E131" s="28"/>
      <c r="F131" s="28"/>
      <c r="G131" s="28"/>
      <c r="H131" s="28"/>
      <c r="I131" s="236"/>
      <c r="J131" s="28"/>
      <c r="K131" s="28"/>
      <c r="L131" s="28"/>
      <c r="M131" s="28"/>
      <c r="N131" s="28"/>
      <c r="O131" s="28"/>
      <c r="P131" s="28"/>
      <c r="Q131" s="28"/>
      <c r="R131" s="28"/>
      <c r="S131" s="28"/>
      <c r="T131" s="39"/>
      <c r="U131" s="196"/>
    </row>
    <row r="132" spans="1:22" x14ac:dyDescent="0.25">
      <c r="C132" s="71" t="s">
        <v>23</v>
      </c>
      <c r="D132" s="89">
        <f>IF(D124&lt;100000,0,D124)</f>
        <v>0</v>
      </c>
      <c r="E132" s="89">
        <f>IF(E124&lt;100000,0,E124)</f>
        <v>0</v>
      </c>
      <c r="F132" s="89">
        <f>IF(F124&lt;100000,0,F124)</f>
        <v>0</v>
      </c>
      <c r="G132" s="89">
        <f>IF(G124&lt;100000,0,G124)</f>
        <v>376293.35445273103</v>
      </c>
      <c r="H132" s="28"/>
      <c r="I132" s="236" t="str">
        <f t="shared" si="72"/>
        <v>If &lt; $100,000, then $0</v>
      </c>
      <c r="J132" s="89">
        <f t="shared" ref="J132:S132" si="74">IF(J124&lt;100000,0,J124)</f>
        <v>0</v>
      </c>
      <c r="K132" s="89">
        <f t="shared" si="74"/>
        <v>876019459.67985487</v>
      </c>
      <c r="L132" s="89">
        <f t="shared" si="74"/>
        <v>0</v>
      </c>
      <c r="M132" s="89">
        <f t="shared" si="74"/>
        <v>0</v>
      </c>
      <c r="N132" s="89">
        <f t="shared" si="74"/>
        <v>0</v>
      </c>
      <c r="O132" s="89">
        <f t="shared" si="74"/>
        <v>346764809.37458408</v>
      </c>
      <c r="P132" s="89">
        <f t="shared" si="74"/>
        <v>535094780.03646976</v>
      </c>
      <c r="Q132" s="89">
        <f t="shared" si="74"/>
        <v>0</v>
      </c>
      <c r="R132" s="89">
        <f t="shared" si="74"/>
        <v>0</v>
      </c>
      <c r="S132" s="89">
        <f t="shared" si="74"/>
        <v>0</v>
      </c>
      <c r="T132" s="39"/>
      <c r="U132" s="196"/>
    </row>
    <row r="133" spans="1:22" x14ac:dyDescent="0.25">
      <c r="C133" s="2"/>
      <c r="D133" s="28"/>
      <c r="E133" s="28"/>
      <c r="F133" s="28"/>
      <c r="G133" s="28"/>
      <c r="H133" s="28"/>
      <c r="I133" s="236"/>
      <c r="J133" s="28"/>
      <c r="K133" s="28"/>
      <c r="L133" s="28"/>
      <c r="M133" s="28"/>
      <c r="N133" s="28"/>
      <c r="O133" s="28"/>
      <c r="P133" s="28"/>
      <c r="Q133" s="28"/>
      <c r="R133" s="28"/>
      <c r="S133" s="28"/>
      <c r="T133" s="39"/>
      <c r="U133" s="196"/>
    </row>
    <row r="134" spans="1:22" ht="18.75" x14ac:dyDescent="0.3">
      <c r="C134" s="67" t="s">
        <v>60</v>
      </c>
      <c r="D134" s="202" t="str">
        <f>IF(COUNTIF(D130:S130,"Yes")=COUNT(D129:S129),"Yes","No - Continue Allcation")</f>
        <v>Yes</v>
      </c>
      <c r="E134" s="68"/>
      <c r="F134" s="28"/>
      <c r="G134" s="28"/>
      <c r="H134" s="28"/>
      <c r="I134" s="28"/>
    </row>
    <row r="135" spans="1:22" x14ac:dyDescent="0.25">
      <c r="D135" s="28"/>
      <c r="E135" s="28"/>
      <c r="F135" s="28"/>
      <c r="G135" s="28"/>
      <c r="H135" s="28"/>
      <c r="I135" s="28"/>
    </row>
    <row r="136" spans="1:22" x14ac:dyDescent="0.25">
      <c r="D136" s="28"/>
      <c r="E136" s="28"/>
      <c r="F136" s="28"/>
      <c r="G136" s="28"/>
      <c r="H136" s="28"/>
      <c r="I136" s="28"/>
    </row>
    <row r="137" spans="1:22" x14ac:dyDescent="0.25">
      <c r="B137" s="293" t="s">
        <v>125</v>
      </c>
      <c r="D137" s="28"/>
      <c r="E137" s="28"/>
      <c r="F137" s="28"/>
      <c r="G137" s="28"/>
      <c r="H137" s="28"/>
      <c r="I137" s="28"/>
    </row>
    <row r="138" spans="1:22" x14ac:dyDescent="0.25">
      <c r="D138" s="28"/>
      <c r="E138" s="28"/>
      <c r="F138" s="28"/>
      <c r="G138" s="28"/>
      <c r="H138" s="28"/>
      <c r="I138" s="28"/>
    </row>
    <row r="139" spans="1:22" ht="81" customHeight="1" x14ac:dyDescent="0.25">
      <c r="B139" s="548" t="s">
        <v>57</v>
      </c>
      <c r="C139" s="549"/>
      <c r="D139" s="549"/>
      <c r="E139" s="549"/>
      <c r="F139" s="549"/>
      <c r="G139" s="549"/>
      <c r="H139" s="549"/>
      <c r="I139" s="550"/>
    </row>
    <row r="140" spans="1:22" x14ac:dyDescent="0.25">
      <c r="B140" s="51"/>
      <c r="C140" s="51"/>
      <c r="D140" s="4"/>
      <c r="E140" s="4"/>
      <c r="F140" s="4"/>
      <c r="G140" s="4"/>
      <c r="H140" s="4"/>
      <c r="I140" s="4"/>
      <c r="J140" s="51"/>
      <c r="K140" s="51"/>
      <c r="L140" s="51"/>
      <c r="M140" s="51"/>
      <c r="N140" s="51"/>
      <c r="O140" s="51"/>
      <c r="P140" s="51"/>
      <c r="Q140" s="51"/>
      <c r="R140" s="51"/>
      <c r="S140" s="51"/>
      <c r="T140" s="51"/>
      <c r="U140" s="51"/>
      <c r="V140" s="51"/>
    </row>
    <row r="141" spans="1:22" ht="15" customHeight="1" x14ac:dyDescent="0.25">
      <c r="A141" s="51"/>
      <c r="B141" s="51"/>
      <c r="C141" s="290"/>
      <c r="D141" s="432" t="str">
        <f>D36</f>
        <v>Loss Beneficiaries</v>
      </c>
      <c r="E141" s="453" t="str">
        <f>J36</f>
        <v>Capital Cost Beneficiaries</v>
      </c>
      <c r="F141" s="454"/>
      <c r="G141" s="454"/>
      <c r="H141" s="451"/>
      <c r="U141" s="69"/>
      <c r="V141" s="51"/>
    </row>
    <row r="142" spans="1:22" s="1" customFormat="1" ht="48.75" customHeight="1" x14ac:dyDescent="0.25">
      <c r="A142" s="41"/>
      <c r="B142" s="71"/>
      <c r="C142" s="295" t="s">
        <v>124</v>
      </c>
      <c r="D142" s="449" t="str">
        <f>G128</f>
        <v>PGE TSP</v>
      </c>
      <c r="E142" s="353" t="str">
        <f>K66</f>
        <v>Q6 Incremental PAC BAA LSEs Load</v>
      </c>
      <c r="F142" s="353" t="str">
        <f>O66</f>
        <v>Q6 WY Wind (New)</v>
      </c>
      <c r="G142" s="450" t="str">
        <f>P66</f>
        <v>Q6 Incremental WY Gen (Existing)</v>
      </c>
      <c r="H142" s="452" t="s">
        <v>17</v>
      </c>
      <c r="J142" s="448"/>
      <c r="K142" s="448"/>
      <c r="L142" s="448"/>
      <c r="M142" s="448"/>
      <c r="N142" s="448"/>
      <c r="O142" s="448"/>
      <c r="P142" s="448"/>
      <c r="Q142" s="448"/>
      <c r="R142" s="448"/>
      <c r="U142" s="448"/>
      <c r="V142" s="41"/>
    </row>
    <row r="143" spans="1:22" x14ac:dyDescent="0.25">
      <c r="A143" s="51"/>
      <c r="B143" s="71"/>
      <c r="C143" s="295" t="s">
        <v>108</v>
      </c>
      <c r="D143" s="432">
        <f>G132</f>
        <v>376293.35445273103</v>
      </c>
      <c r="E143" s="432">
        <f>K132</f>
        <v>876019459.67985487</v>
      </c>
      <c r="F143" s="432">
        <f>O132</f>
        <v>346764809.37458408</v>
      </c>
      <c r="G143" s="432">
        <f>P132</f>
        <v>535094780.03646976</v>
      </c>
      <c r="H143" s="299">
        <f>SUM(D143:G143)</f>
        <v>1758255342.4453614</v>
      </c>
      <c r="J143" s="69"/>
      <c r="K143" s="69"/>
      <c r="L143" s="69"/>
      <c r="M143" s="69"/>
      <c r="N143" s="69"/>
      <c r="O143" s="69"/>
      <c r="P143" s="69"/>
      <c r="Q143" s="69"/>
      <c r="R143" s="69"/>
      <c r="U143" s="69"/>
      <c r="V143" s="51"/>
    </row>
    <row r="144" spans="1:22" x14ac:dyDescent="0.25">
      <c r="A144" s="51"/>
      <c r="B144" s="71"/>
      <c r="C144" s="530" t="s">
        <v>160</v>
      </c>
      <c r="D144" s="531"/>
      <c r="E144" s="531"/>
      <c r="F144" s="531"/>
      <c r="G144" s="531"/>
      <c r="H144" s="532"/>
      <c r="I144" s="502"/>
      <c r="J144" s="98"/>
      <c r="K144" s="98"/>
      <c r="L144" s="98"/>
      <c r="M144" s="98"/>
      <c r="N144" s="98"/>
      <c r="O144" s="98"/>
      <c r="P144" s="98"/>
      <c r="Q144" s="98"/>
      <c r="R144" s="98"/>
      <c r="U144" s="69"/>
      <c r="V144" s="51"/>
    </row>
    <row r="145" spans="1:25" ht="29.25" customHeight="1" x14ac:dyDescent="0.25">
      <c r="A145" s="51"/>
      <c r="B145" s="71"/>
      <c r="C145" s="521" t="str">
        <f>D32</f>
        <v>1.   The identification of Beneficiaries of a project, the dollar amount of benefits allocated to each Beneficiary, and the timing of those benefits are based upon the assumptions built into the models used to produce the allocations.  Actuals may vary from assumptions substantially.</v>
      </c>
      <c r="D145" s="522"/>
      <c r="E145" s="522"/>
      <c r="F145" s="522"/>
      <c r="G145" s="522"/>
      <c r="H145" s="523"/>
      <c r="I145" s="501"/>
      <c r="J145" s="365"/>
      <c r="K145" s="365"/>
      <c r="L145" s="365"/>
      <c r="M145" s="365"/>
      <c r="N145" s="365"/>
      <c r="O145" s="365"/>
      <c r="P145" s="365"/>
      <c r="Q145" s="365"/>
      <c r="R145" s="365"/>
      <c r="U145" s="69"/>
      <c r="V145" s="51"/>
    </row>
    <row r="146" spans="1:25" ht="29.25" customHeight="1" x14ac:dyDescent="0.25">
      <c r="A146" s="51"/>
      <c r="B146" s="71"/>
      <c r="C146" s="533" t="str">
        <f>D33</f>
        <v xml:space="preserve">2.    Each Beneficiary that is allocated a portion of a project's cost is assumed to receive a corresponding quantity of Ownership Rights or Ownership Like Rights in the project in order to realize the benefits that are assumed to be derived by the project. </v>
      </c>
      <c r="D146" s="534"/>
      <c r="E146" s="534"/>
      <c r="F146" s="534"/>
      <c r="G146" s="534"/>
      <c r="H146" s="535"/>
      <c r="I146" s="501"/>
      <c r="J146" s="365"/>
      <c r="K146" s="365"/>
      <c r="L146" s="365"/>
      <c r="M146" s="365"/>
      <c r="N146" s="365"/>
      <c r="O146" s="365"/>
      <c r="P146" s="365"/>
      <c r="Q146" s="365"/>
      <c r="R146" s="365"/>
      <c r="U146" s="69"/>
      <c r="V146" s="51"/>
    </row>
    <row r="147" spans="1:25" ht="30.75" customHeight="1" x14ac:dyDescent="0.25">
      <c r="A147" s="51"/>
      <c r="B147" s="71"/>
      <c r="C147" s="527" t="str">
        <f>D34</f>
        <v>3.    The allocation of benefits to a Beneficiary is not intended to prejudice in any way the characterization of the costs or the further allocation of the costs by the Beneficiary as may be proscribed or allowed by Federal law, FERC order, or applicable law.</v>
      </c>
      <c r="D147" s="528"/>
      <c r="E147" s="528"/>
      <c r="F147" s="528"/>
      <c r="G147" s="528"/>
      <c r="H147" s="529"/>
      <c r="I147" s="501"/>
      <c r="J147" s="365"/>
      <c r="K147" s="365"/>
      <c r="L147" s="365"/>
      <c r="M147" s="365"/>
      <c r="N147" s="365"/>
      <c r="O147" s="365"/>
      <c r="P147" s="365"/>
      <c r="Q147" s="365"/>
      <c r="R147" s="365"/>
      <c r="U147" s="69"/>
      <c r="V147" s="51"/>
    </row>
    <row r="148" spans="1:25" s="289" customFormat="1" x14ac:dyDescent="0.25">
      <c r="A148" s="275"/>
      <c r="B148" s="275"/>
      <c r="C148" s="298"/>
      <c r="H148" s="392"/>
      <c r="I148" s="392"/>
      <c r="J148" s="294"/>
      <c r="K148" s="294"/>
      <c r="L148" s="294"/>
      <c r="M148" s="294"/>
      <c r="N148" s="46"/>
      <c r="O148" s="290"/>
      <c r="P148" s="290"/>
      <c r="Q148" s="290"/>
      <c r="R148" s="290"/>
      <c r="S148" s="291"/>
      <c r="T148" s="292"/>
      <c r="U148" s="290"/>
      <c r="V148" s="275"/>
    </row>
    <row r="149" spans="1:25" s="289" customFormat="1" x14ac:dyDescent="0.25">
      <c r="A149" s="275"/>
      <c r="B149" s="275"/>
      <c r="C149" s="290"/>
      <c r="D149" s="432" t="s">
        <v>94</v>
      </c>
      <c r="E149" s="198"/>
      <c r="F149" s="198"/>
      <c r="G149" s="198"/>
      <c r="H149" s="198"/>
      <c r="I149" s="198"/>
      <c r="J149" s="198"/>
      <c r="K149" s="198"/>
      <c r="L149" s="198"/>
      <c r="M149" s="198"/>
      <c r="O149" s="290"/>
      <c r="P149" s="290"/>
      <c r="Q149" s="290"/>
      <c r="R149" s="290"/>
      <c r="S149" s="291"/>
      <c r="T149" s="292"/>
      <c r="U149" s="290"/>
      <c r="V149" s="275"/>
    </row>
    <row r="150" spans="1:25" ht="34.5" customHeight="1" x14ac:dyDescent="0.3">
      <c r="A150" s="51"/>
      <c r="B150" s="51"/>
      <c r="C150" s="435" t="str">
        <f>C97&amp;" Capital Cost "</f>
        <v xml:space="preserve">Alternative Project Capital Cost </v>
      </c>
      <c r="D150" s="302">
        <f>D16</f>
        <v>2744026994</v>
      </c>
      <c r="E150" s="198"/>
      <c r="F150" s="198"/>
      <c r="G150" s="198"/>
      <c r="H150" s="198"/>
      <c r="I150" s="198"/>
      <c r="J150" s="246"/>
      <c r="K150" s="246"/>
      <c r="L150" s="246"/>
      <c r="M150" s="246"/>
      <c r="O150" s="69"/>
      <c r="P150" s="69"/>
      <c r="Q150" s="69"/>
      <c r="R150" s="69"/>
      <c r="S150" s="72"/>
      <c r="T150" s="288"/>
      <c r="U150" s="69"/>
      <c r="V150" s="51"/>
    </row>
    <row r="151" spans="1:25" ht="30" x14ac:dyDescent="0.3">
      <c r="A151" s="51"/>
      <c r="B151" s="51"/>
      <c r="C151" s="435" t="s">
        <v>132</v>
      </c>
      <c r="D151" s="302">
        <f>H143</f>
        <v>1758255342.4453614</v>
      </c>
      <c r="E151" s="198"/>
      <c r="F151" s="198"/>
      <c r="G151" s="198"/>
      <c r="H151" s="198"/>
      <c r="I151" s="198"/>
      <c r="J151" s="246"/>
      <c r="K151" s="246"/>
      <c r="L151" s="246"/>
      <c r="M151" s="246"/>
      <c r="O151" s="69"/>
      <c r="P151" s="69"/>
      <c r="Q151" s="69"/>
      <c r="R151" s="69"/>
      <c r="S151" s="72"/>
      <c r="T151" s="288"/>
      <c r="U151" s="69"/>
      <c r="V151" s="51"/>
    </row>
    <row r="152" spans="1:25" s="3" customFormat="1" ht="153.75" customHeight="1" x14ac:dyDescent="0.25">
      <c r="A152" s="98"/>
      <c r="B152" s="305"/>
      <c r="C152" s="434" t="s">
        <v>61</v>
      </c>
      <c r="D152" s="302">
        <f>D150-D151</f>
        <v>985771651.55463862</v>
      </c>
      <c r="E152" s="552" t="s">
        <v>179</v>
      </c>
      <c r="F152" s="553"/>
      <c r="G152" s="553"/>
      <c r="H152" s="554"/>
      <c r="I152" s="298"/>
      <c r="J152" s="305"/>
      <c r="K152" s="305"/>
      <c r="L152" s="305"/>
      <c r="M152" s="305"/>
      <c r="N152" s="305"/>
      <c r="O152" s="305"/>
      <c r="P152" s="305"/>
      <c r="Q152" s="305"/>
      <c r="R152" s="305"/>
      <c r="S152" s="359"/>
      <c r="U152" s="305"/>
      <c r="V152" s="98"/>
    </row>
    <row r="153" spans="1:25" x14ac:dyDescent="0.25">
      <c r="A153" s="51"/>
      <c r="B153" s="69"/>
      <c r="C153" s="289"/>
      <c r="E153" s="358"/>
      <c r="F153" s="358"/>
      <c r="G153" s="358"/>
      <c r="H153" s="358"/>
      <c r="I153" s="358"/>
      <c r="J153" s="69"/>
      <c r="K153" s="69"/>
      <c r="L153" s="69"/>
      <c r="M153" s="69"/>
      <c r="N153" s="69"/>
      <c r="O153" s="69"/>
      <c r="P153" s="69"/>
      <c r="Q153" s="69"/>
      <c r="R153" s="69"/>
      <c r="S153" s="69"/>
      <c r="T153" s="69"/>
      <c r="U153" s="69"/>
      <c r="V153" s="51"/>
    </row>
    <row r="154" spans="1:25" s="51" customFormat="1" x14ac:dyDescent="0.25">
      <c r="B154" s="69"/>
      <c r="C154" s="69"/>
      <c r="D154" s="69"/>
      <c r="E154" s="69"/>
      <c r="F154" s="69"/>
      <c r="G154" s="69"/>
      <c r="H154" s="69"/>
      <c r="I154" s="69"/>
      <c r="J154" s="69"/>
      <c r="K154" s="69"/>
      <c r="L154" s="69"/>
      <c r="M154" s="69"/>
      <c r="N154" s="69"/>
      <c r="O154" s="69"/>
      <c r="P154" s="69"/>
      <c r="Q154" s="69"/>
      <c r="R154" s="69"/>
      <c r="S154" s="69"/>
      <c r="T154" s="69"/>
      <c r="U154" s="69"/>
    </row>
    <row r="155" spans="1:25" s="51" customFormat="1" x14ac:dyDescent="0.25">
      <c r="B155" s="69"/>
      <c r="E155" s="69"/>
      <c r="F155" s="69"/>
      <c r="G155" s="69"/>
      <c r="H155" s="69"/>
      <c r="I155" s="69"/>
      <c r="J155" s="69"/>
      <c r="K155" s="69"/>
      <c r="L155" s="69"/>
      <c r="M155" s="69"/>
      <c r="N155" s="69"/>
      <c r="O155" s="69"/>
      <c r="P155" s="69"/>
      <c r="Q155" s="69"/>
      <c r="R155" s="69"/>
      <c r="S155" s="69"/>
      <c r="T155" s="69"/>
      <c r="U155" s="69"/>
    </row>
    <row r="156" spans="1:25" s="51" customFormat="1" x14ac:dyDescent="0.25">
      <c r="B156" s="69"/>
      <c r="C156" s="69"/>
      <c r="D156" s="69"/>
      <c r="E156" s="69"/>
      <c r="F156" s="69"/>
      <c r="G156" s="69"/>
      <c r="H156" s="69"/>
      <c r="I156" s="69"/>
      <c r="J156" s="69"/>
      <c r="K156" s="69"/>
      <c r="L156" s="69"/>
      <c r="M156" s="69"/>
      <c r="N156" s="69"/>
      <c r="O156" s="69"/>
      <c r="P156" s="69"/>
      <c r="Q156" s="69"/>
      <c r="R156" s="69"/>
      <c r="S156" s="69"/>
      <c r="T156" s="69"/>
      <c r="U156" s="69"/>
    </row>
    <row r="157" spans="1:25" s="51" customFormat="1" x14ac:dyDescent="0.25">
      <c r="B157" s="69"/>
      <c r="D157" s="69"/>
      <c r="E157" s="69"/>
      <c r="F157" s="69"/>
      <c r="G157" s="69"/>
      <c r="H157" s="69"/>
      <c r="I157" s="69"/>
      <c r="J157" s="69"/>
      <c r="K157" s="69"/>
      <c r="L157" s="69"/>
      <c r="M157" s="69"/>
      <c r="N157" s="69"/>
      <c r="O157" s="69"/>
      <c r="P157" s="69"/>
      <c r="Q157" s="69"/>
      <c r="R157" s="69"/>
      <c r="S157" s="69"/>
      <c r="T157" s="69"/>
      <c r="U157" s="69"/>
    </row>
    <row r="158" spans="1:25" s="51" customFormat="1" ht="18.75" x14ac:dyDescent="0.25">
      <c r="B158" s="69"/>
      <c r="C158" s="507"/>
      <c r="D158" s="69"/>
      <c r="E158" s="69"/>
      <c r="F158" s="69"/>
      <c r="G158" s="69"/>
      <c r="H158" s="69"/>
      <c r="I158" s="69"/>
      <c r="J158" s="69"/>
      <c r="K158" s="69"/>
      <c r="L158" s="69"/>
      <c r="M158" s="69"/>
      <c r="N158" s="69"/>
      <c r="O158" s="69"/>
      <c r="P158" s="69"/>
      <c r="Q158" s="69"/>
      <c r="R158" s="69"/>
      <c r="S158" s="69"/>
      <c r="T158" s="69"/>
      <c r="U158" s="69"/>
    </row>
    <row r="159" spans="1:25" ht="18.75" x14ac:dyDescent="0.25">
      <c r="A159" s="51"/>
      <c r="B159" s="98"/>
      <c r="C159" s="507"/>
      <c r="D159" s="69"/>
      <c r="E159" s="69"/>
      <c r="F159" s="69"/>
      <c r="G159" s="69"/>
      <c r="H159" s="69"/>
      <c r="I159" s="69"/>
      <c r="J159" s="69"/>
      <c r="K159" s="69"/>
      <c r="L159" s="69"/>
      <c r="M159" s="69"/>
      <c r="N159" s="69"/>
      <c r="O159" s="69"/>
      <c r="P159" s="69"/>
      <c r="Q159" s="69"/>
      <c r="R159" s="69"/>
      <c r="S159" s="69"/>
      <c r="T159" s="69"/>
      <c r="U159" s="69"/>
      <c r="V159" s="51"/>
      <c r="W159" s="51"/>
      <c r="X159" s="51"/>
      <c r="Y159" s="51"/>
    </row>
    <row r="160" spans="1:25" ht="18.75" x14ac:dyDescent="0.3">
      <c r="A160" s="51"/>
      <c r="B160" s="50"/>
      <c r="C160" s="508"/>
      <c r="D160" s="69"/>
      <c r="E160" s="69"/>
      <c r="F160" s="69"/>
      <c r="G160" s="69"/>
      <c r="H160" s="69"/>
      <c r="I160" s="69"/>
      <c r="J160" s="69"/>
      <c r="K160" s="69"/>
      <c r="L160" s="69"/>
      <c r="M160" s="69"/>
      <c r="N160" s="69"/>
      <c r="O160" s="69"/>
      <c r="P160" s="69"/>
      <c r="Q160" s="69"/>
      <c r="R160" s="69"/>
      <c r="S160" s="69"/>
      <c r="T160" s="69"/>
      <c r="U160" s="69"/>
      <c r="V160" s="51"/>
      <c r="W160" s="51"/>
      <c r="X160" s="51"/>
      <c r="Y160" s="51"/>
    </row>
    <row r="161" spans="1:22" s="224" customFormat="1" x14ac:dyDescent="0.25">
      <c r="A161" s="225"/>
      <c r="B161" s="225"/>
      <c r="U161" s="225"/>
      <c r="V161" s="225"/>
    </row>
    <row r="162" spans="1:22" s="224" customFormat="1" x14ac:dyDescent="0.25">
      <c r="A162" s="225"/>
      <c r="B162" s="225"/>
    </row>
    <row r="163" spans="1:22" s="224" customFormat="1" x14ac:dyDescent="0.25">
      <c r="A163" s="225"/>
      <c r="B163" s="225"/>
    </row>
    <row r="164" spans="1:22" s="224" customFormat="1" x14ac:dyDescent="0.25">
      <c r="A164" s="225"/>
      <c r="B164" s="225"/>
    </row>
    <row r="165" spans="1:22" s="224" customFormat="1" x14ac:dyDescent="0.25">
      <c r="A165" s="225"/>
      <c r="B165" s="225"/>
    </row>
    <row r="166" spans="1:22" s="224" customFormat="1" x14ac:dyDescent="0.25">
      <c r="A166" s="225"/>
      <c r="B166" s="225"/>
    </row>
    <row r="167" spans="1:22" s="224" customFormat="1" x14ac:dyDescent="0.25">
      <c r="A167" s="225"/>
      <c r="B167" s="225"/>
    </row>
    <row r="168" spans="1:22" s="224" customFormat="1" x14ac:dyDescent="0.25">
      <c r="A168" s="225"/>
      <c r="B168" s="225"/>
    </row>
    <row r="169" spans="1:22" s="224" customFormat="1" x14ac:dyDescent="0.25">
      <c r="A169" s="225"/>
      <c r="B169" s="225"/>
    </row>
    <row r="170" spans="1:22" s="224" customFormat="1" x14ac:dyDescent="0.25">
      <c r="A170" s="225"/>
      <c r="B170" s="225"/>
    </row>
    <row r="171" spans="1:22" s="224" customFormat="1" x14ac:dyDescent="0.25">
      <c r="A171" s="225"/>
      <c r="B171" s="225"/>
    </row>
    <row r="172" spans="1:22" s="224" customFormat="1" x14ac:dyDescent="0.25">
      <c r="A172" s="225"/>
      <c r="B172" s="225"/>
    </row>
    <row r="173" spans="1:22" s="224" customFormat="1" x14ac:dyDescent="0.25">
      <c r="A173" s="225"/>
      <c r="B173" s="225"/>
    </row>
    <row r="174" spans="1:22" s="224" customFormat="1" x14ac:dyDescent="0.25">
      <c r="A174" s="225"/>
      <c r="B174" s="225"/>
    </row>
    <row r="175" spans="1:22" s="224" customFormat="1" x14ac:dyDescent="0.25">
      <c r="A175" s="225"/>
      <c r="B175" s="225"/>
    </row>
    <row r="176" spans="1:22" s="224" customFormat="1" x14ac:dyDescent="0.25">
      <c r="A176" s="225"/>
      <c r="B176" s="225"/>
    </row>
    <row r="177" spans="1:10" s="224" customFormat="1" x14ac:dyDescent="0.25">
      <c r="A177" s="225"/>
      <c r="B177" s="225"/>
    </row>
    <row r="178" spans="1:10" s="224" customFormat="1" x14ac:dyDescent="0.25">
      <c r="A178" s="225"/>
      <c r="B178" s="225"/>
    </row>
    <row r="179" spans="1:10" s="224" customFormat="1" x14ac:dyDescent="0.25">
      <c r="A179" s="225"/>
      <c r="B179" s="225"/>
    </row>
    <row r="180" spans="1:10" s="224" customFormat="1" x14ac:dyDescent="0.25">
      <c r="A180" s="225"/>
      <c r="B180" s="225"/>
    </row>
    <row r="181" spans="1:10" s="224" customFormat="1" x14ac:dyDescent="0.25">
      <c r="A181" s="225"/>
      <c r="B181" s="225"/>
    </row>
    <row r="182" spans="1:10" s="224" customFormat="1" x14ac:dyDescent="0.25">
      <c r="A182" s="225"/>
      <c r="B182" s="225"/>
    </row>
    <row r="183" spans="1:10" s="224" customFormat="1" x14ac:dyDescent="0.25"/>
    <row r="184" spans="1:10" s="224" customFormat="1" x14ac:dyDescent="0.25"/>
    <row r="185" spans="1:10" s="224" customFormat="1" x14ac:dyDescent="0.25"/>
    <row r="186" spans="1:10" s="224" customFormat="1" x14ac:dyDescent="0.25"/>
    <row r="187" spans="1:10" s="224" customFormat="1" x14ac:dyDescent="0.25"/>
    <row r="188" spans="1:10" s="224" customFormat="1" x14ac:dyDescent="0.25"/>
    <row r="189" spans="1:10" s="224" customFormat="1" x14ac:dyDescent="0.25">
      <c r="B189" s="225"/>
      <c r="C189" s="225"/>
      <c r="D189" s="225"/>
      <c r="E189" s="225"/>
      <c r="F189" s="225"/>
      <c r="G189" s="225"/>
      <c r="H189" s="225"/>
      <c r="I189" s="225"/>
      <c r="J189" s="225"/>
    </row>
    <row r="190" spans="1:10" s="224" customFormat="1" x14ac:dyDescent="0.25">
      <c r="B190" s="225"/>
      <c r="C190" s="225"/>
      <c r="D190" s="225"/>
      <c r="E190" s="225"/>
      <c r="F190" s="225"/>
      <c r="G190" s="225"/>
      <c r="H190" s="225"/>
      <c r="I190" s="225"/>
      <c r="J190" s="225"/>
    </row>
    <row r="191" spans="1:10" x14ac:dyDescent="0.25">
      <c r="A191" s="69"/>
      <c r="B191" s="69"/>
      <c r="C191" s="164"/>
      <c r="D191" s="539"/>
      <c r="E191" s="539"/>
      <c r="F191" s="539"/>
      <c r="G191" s="539"/>
      <c r="H191" s="226"/>
      <c r="I191" s="226"/>
      <c r="J191" s="51"/>
    </row>
    <row r="192" spans="1:10" x14ac:dyDescent="0.25">
      <c r="A192" s="51"/>
      <c r="B192" s="51"/>
      <c r="C192" s="38"/>
      <c r="D192" s="198"/>
      <c r="E192" s="198"/>
      <c r="F192" s="198"/>
      <c r="G192" s="198"/>
      <c r="H192" s="51"/>
      <c r="I192" s="51"/>
      <c r="J192" s="51"/>
    </row>
    <row r="193" spans="1:7" x14ac:dyDescent="0.25">
      <c r="A193" s="51"/>
      <c r="C193" s="199"/>
      <c r="D193" s="200"/>
      <c r="E193" s="200"/>
      <c r="F193" s="200"/>
      <c r="G193" s="200"/>
    </row>
    <row r="194" spans="1:7" x14ac:dyDescent="0.25">
      <c r="C194" s="199"/>
      <c r="D194" s="200"/>
      <c r="E194" s="200"/>
      <c r="F194" s="200"/>
      <c r="G194" s="200"/>
    </row>
  </sheetData>
  <sheetProtection algorithmName="SHA-512" hashValue="Xy99oqLcinL9G9TZKndOWlgTAN9MnaV7Kzxqr+Z8fkH+KVwpTTAKSKb5v7cBILJVtKvZ8CPPKl7hqmwsU3ddrg==" saltValue="DzMof/vqGo407cMeNag3nA==" spinCount="100000" sheet="1" objects="1" scenarios="1"/>
  <mergeCells count="38">
    <mergeCell ref="B7:I7"/>
    <mergeCell ref="C8:I8"/>
    <mergeCell ref="C9:I9"/>
    <mergeCell ref="B42:V42"/>
    <mergeCell ref="B51:I51"/>
    <mergeCell ref="B21:I21"/>
    <mergeCell ref="D36:G36"/>
    <mergeCell ref="C23:T23"/>
    <mergeCell ref="D24:G24"/>
    <mergeCell ref="J24:S24"/>
    <mergeCell ref="J36:S36"/>
    <mergeCell ref="D31:T31"/>
    <mergeCell ref="D32:T32"/>
    <mergeCell ref="D34:T34"/>
    <mergeCell ref="D62:T62"/>
    <mergeCell ref="D191:G191"/>
    <mergeCell ref="C52:I52"/>
    <mergeCell ref="C74:I74"/>
    <mergeCell ref="D115:T115"/>
    <mergeCell ref="D99:T99"/>
    <mergeCell ref="B88:I88"/>
    <mergeCell ref="B90:I90"/>
    <mergeCell ref="B91:I91"/>
    <mergeCell ref="B94:H94"/>
    <mergeCell ref="D77:S77"/>
    <mergeCell ref="B119:B120"/>
    <mergeCell ref="D127:S127"/>
    <mergeCell ref="B139:I139"/>
    <mergeCell ref="C146:H146"/>
    <mergeCell ref="E152:H152"/>
    <mergeCell ref="C145:H145"/>
    <mergeCell ref="C147:H147"/>
    <mergeCell ref="C144:H144"/>
    <mergeCell ref="AA117:AA118"/>
    <mergeCell ref="W117:W118"/>
    <mergeCell ref="X117:X118"/>
    <mergeCell ref="Y117:Y118"/>
    <mergeCell ref="Z117:Z118"/>
  </mergeCells>
  <pageMargins left="0.7" right="0.7" top="0.75" bottom="0.75" header="0.3" footer="0.3"/>
  <pageSetup scale="17"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CE92"/>
  <sheetViews>
    <sheetView showGridLines="0" zoomScaleNormal="100" workbookViewId="0">
      <selection activeCell="C6" sqref="C6"/>
    </sheetView>
  </sheetViews>
  <sheetFormatPr defaultRowHeight="15" x14ac:dyDescent="0.25"/>
  <cols>
    <col min="2" max="2" width="15.7109375" customWidth="1"/>
    <col min="3" max="7" width="13.140625" customWidth="1"/>
    <col min="8" max="8" width="21.140625" customWidth="1"/>
    <col min="9" max="9" width="13.140625" customWidth="1"/>
    <col min="10" max="10" width="9.140625" customWidth="1"/>
    <col min="11" max="11" width="14.28515625" bestFit="1" customWidth="1"/>
    <col min="12" max="15" width="11.42578125" customWidth="1"/>
    <col min="16" max="16" width="18" bestFit="1" customWidth="1"/>
    <col min="17" max="17" width="12.28515625" bestFit="1" customWidth="1"/>
    <col min="18" max="18" width="12.28515625" customWidth="1"/>
    <col min="19" max="19" width="2" bestFit="1" customWidth="1"/>
    <col min="20" max="20" width="3" bestFit="1" customWidth="1"/>
    <col min="21" max="21" width="19.85546875" bestFit="1" customWidth="1"/>
    <col min="22" max="23" width="8" customWidth="1"/>
    <col min="24" max="24" width="10.42578125" bestFit="1" customWidth="1"/>
    <col min="25" max="25" width="14.140625" bestFit="1" customWidth="1"/>
    <col min="26" max="26" width="14" bestFit="1" customWidth="1"/>
    <col min="27" max="27" width="38.7109375" bestFit="1" customWidth="1"/>
    <col min="29" max="29" width="16.7109375" bestFit="1" customWidth="1"/>
    <col min="30" max="30" width="18.28515625" bestFit="1" customWidth="1"/>
    <col min="31" max="31" width="13.85546875" bestFit="1" customWidth="1"/>
    <col min="32" max="32" width="14.7109375" bestFit="1" customWidth="1"/>
    <col min="33" max="33" width="13.85546875" bestFit="1" customWidth="1"/>
    <col min="34" max="35" width="9.140625" customWidth="1"/>
    <col min="36" max="36" width="20.7109375" customWidth="1"/>
    <col min="37" max="38" width="7.85546875" customWidth="1"/>
    <col min="39" max="39" width="14.28515625" customWidth="1"/>
    <col min="40" max="44" width="9.140625" customWidth="1"/>
    <col min="45" max="45" width="25.140625" customWidth="1"/>
    <col min="46" max="46" width="20.7109375" customWidth="1"/>
    <col min="47" max="47" width="14.42578125" customWidth="1"/>
    <col min="48" max="48" width="12.7109375" customWidth="1"/>
    <col min="49" max="51" width="14.42578125" customWidth="1"/>
    <col min="54" max="54" width="14.42578125" bestFit="1" customWidth="1"/>
    <col min="55" max="55" width="16.5703125" bestFit="1" customWidth="1"/>
    <col min="56" max="56" width="16.5703125" customWidth="1"/>
    <col min="57" max="57" width="14.7109375" bestFit="1" customWidth="1"/>
    <col min="58" max="58" width="13.42578125" customWidth="1"/>
    <col min="63" max="63" width="14.7109375" bestFit="1" customWidth="1"/>
    <col min="64" max="64" width="16.85546875" bestFit="1" customWidth="1"/>
    <col min="65" max="65" width="15.7109375" customWidth="1"/>
    <col min="66" max="66" width="12.7109375" customWidth="1"/>
    <col min="67" max="67" width="12.85546875" bestFit="1" customWidth="1"/>
    <col min="68" max="68" width="14.5703125" bestFit="1" customWidth="1"/>
    <col min="69" max="69" width="21.85546875" customWidth="1"/>
    <col min="70" max="70" width="14.5703125" bestFit="1" customWidth="1"/>
    <col min="71" max="71" width="15" customWidth="1"/>
    <col min="72" max="72" width="9.140625" customWidth="1"/>
    <col min="73" max="73" width="19" customWidth="1"/>
    <col min="74" max="74" width="13.140625" customWidth="1"/>
    <col min="75" max="75" width="14.85546875" customWidth="1"/>
    <col min="76" max="76" width="12.7109375" bestFit="1" customWidth="1"/>
    <col min="78" max="78" width="9.140625" customWidth="1"/>
    <col min="79" max="79" width="15.140625" customWidth="1"/>
    <col min="81" max="81" width="13.28515625" customWidth="1"/>
    <col min="82" max="82" width="15.28515625" customWidth="1"/>
    <col min="83" max="83" width="13.140625" bestFit="1" customWidth="1"/>
  </cols>
  <sheetData>
    <row r="2" spans="1:73" x14ac:dyDescent="0.25">
      <c r="I2" s="134"/>
      <c r="J2" s="126"/>
      <c r="K2" s="126"/>
      <c r="L2" s="126"/>
      <c r="M2" s="126"/>
      <c r="N2" s="123"/>
      <c r="O2" s="123"/>
      <c r="P2" s="123"/>
      <c r="Q2" s="123"/>
      <c r="R2" s="123"/>
    </row>
    <row r="3" spans="1:73" x14ac:dyDescent="0.25">
      <c r="G3" s="226"/>
      <c r="H3" s="226"/>
      <c r="I3" s="134"/>
      <c r="J3" s="126"/>
      <c r="K3" s="126"/>
      <c r="L3" s="126"/>
      <c r="M3" s="126"/>
      <c r="N3" s="123"/>
      <c r="O3" s="123"/>
      <c r="P3" s="123"/>
      <c r="Q3" s="123"/>
      <c r="R3" s="123"/>
    </row>
    <row r="4" spans="1:73" x14ac:dyDescent="0.25">
      <c r="G4" s="4"/>
      <c r="H4" s="4"/>
      <c r="I4" s="134"/>
      <c r="J4" s="362"/>
      <c r="K4" s="362"/>
      <c r="L4" s="362"/>
      <c r="M4" s="362"/>
      <c r="N4" s="143"/>
      <c r="O4" s="123"/>
      <c r="P4" s="123"/>
      <c r="Q4" s="123"/>
      <c r="R4" s="123"/>
      <c r="T4" s="101"/>
      <c r="U4" s="102"/>
      <c r="V4" s="579" t="str">
        <f>'Cost Allocation'!D115</f>
        <v>TPV Benefits Adjusted Net Benefit per Criterion a and b</v>
      </c>
      <c r="W4" s="579">
        <f>'Cost Allocation'!E115</f>
        <v>0</v>
      </c>
      <c r="X4" s="579">
        <f>'Cost Allocation'!F115</f>
        <v>0</v>
      </c>
      <c r="Y4" s="579">
        <f>'Cost Allocation'!G115</f>
        <v>0</v>
      </c>
      <c r="Z4" s="579">
        <f>'Cost Allocation'!H115</f>
        <v>0</v>
      </c>
      <c r="AA4" s="103"/>
      <c r="AC4" s="580" t="s">
        <v>98</v>
      </c>
      <c r="AD4" s="580"/>
      <c r="AE4" s="580"/>
      <c r="AF4" s="255" t="s">
        <v>107</v>
      </c>
      <c r="AH4" s="255"/>
      <c r="AI4" s="255"/>
      <c r="AN4" s="255"/>
      <c r="AO4" s="255"/>
      <c r="AP4" s="255"/>
      <c r="AQ4" s="255"/>
      <c r="AR4" s="255"/>
      <c r="AS4" s="290"/>
      <c r="AT4" s="361" t="str">
        <f>'Cost Allocation'!D141</f>
        <v>Loss Beneficiaries</v>
      </c>
      <c r="AU4" s="578" t="str">
        <f>'Cost Allocation'!E141</f>
        <v>Capital Cost Beneficiaries</v>
      </c>
      <c r="AV4" s="578"/>
      <c r="AW4" s="578"/>
      <c r="AX4" s="393"/>
      <c r="BB4" s="141"/>
      <c r="BC4" s="577" t="str">
        <f>Planning!C84</f>
        <v>Levelized Capital Related Cost Beneficiaries</v>
      </c>
      <c r="BD4" s="577"/>
      <c r="BE4" s="577"/>
      <c r="BF4" s="577"/>
      <c r="BK4" s="290"/>
      <c r="BL4" s="432" t="str">
        <f>'Cost Allocation'!D141</f>
        <v>Loss Beneficiaries</v>
      </c>
      <c r="BM4" s="574" t="str">
        <f>'Cost Allocation'!E141</f>
        <v>Capital Cost Beneficiaries</v>
      </c>
      <c r="BN4" s="575"/>
      <c r="BO4" s="576"/>
      <c r="BP4" s="451"/>
      <c r="BQ4" s="396"/>
    </row>
    <row r="5" spans="1:73" s="396" customFormat="1" ht="60" x14ac:dyDescent="0.25">
      <c r="G5" s="4"/>
      <c r="H5" s="4"/>
      <c r="I5" s="363"/>
      <c r="J5" s="363"/>
      <c r="K5" s="363"/>
      <c r="L5" s="363"/>
      <c r="M5" s="363"/>
      <c r="N5" s="363"/>
      <c r="O5" s="123"/>
      <c r="P5" s="123"/>
      <c r="Q5" s="123"/>
      <c r="R5" s="123"/>
      <c r="T5" s="397"/>
      <c r="U5" s="398"/>
      <c r="V5" s="399" t="str">
        <f>'Cost Allocation'!D116</f>
        <v>IPC TSP</v>
      </c>
      <c r="W5" s="399" t="str">
        <f>'Cost Allocation'!E116</f>
        <v>NWE TSP</v>
      </c>
      <c r="X5" s="399" t="str">
        <f>'Cost Allocation'!F116</f>
        <v>PAC TSP</v>
      </c>
      <c r="Y5" s="399" t="str">
        <f>'Cost Allocation'!G116</f>
        <v>PGE TSP</v>
      </c>
      <c r="Z5" s="399">
        <f>'Cost Allocation'!H116</f>
        <v>0</v>
      </c>
      <c r="AA5" s="399">
        <f>'Cost Allocation'!I116</f>
        <v>0</v>
      </c>
      <c r="AC5" s="400"/>
      <c r="AD5" s="401" t="s">
        <v>145</v>
      </c>
      <c r="AE5" s="401" t="s">
        <v>90</v>
      </c>
      <c r="AG5" s="402"/>
      <c r="AH5" s="402"/>
      <c r="AI5" s="402"/>
      <c r="AN5" s="402"/>
      <c r="AO5" s="402"/>
      <c r="AP5" s="402"/>
      <c r="AQ5" s="402"/>
      <c r="AR5" s="402"/>
      <c r="AS5" s="395" t="str">
        <f>'Cost Allocation'!C142</f>
        <v>Beneficiary</v>
      </c>
      <c r="AT5" s="300" t="str">
        <f>'Cost Allocation'!D142</f>
        <v>PGE TSP</v>
      </c>
      <c r="AU5" s="300" t="str">
        <f>'Cost Allocation'!E142</f>
        <v>Q6 Incremental PAC BAA LSEs Load</v>
      </c>
      <c r="AV5" s="300" t="str">
        <f>'Cost Allocation'!F142</f>
        <v>Q6 WY Wind (New)</v>
      </c>
      <c r="AW5" s="300" t="str">
        <f>'Cost Allocation'!G142</f>
        <v>Q6 Incremental WY Gen (Existing)</v>
      </c>
      <c r="AX5" s="300" t="str">
        <f>'Cost Allocation'!H142</f>
        <v>Sum</v>
      </c>
      <c r="BB5" s="403"/>
      <c r="BC5" s="197" t="str">
        <f>Planning!D85</f>
        <v>Q6 Incremental PAC BAA LSEs Load</v>
      </c>
      <c r="BD5" s="197" t="str">
        <f>Planning!H85</f>
        <v>Q6 WY Wind (New)</v>
      </c>
      <c r="BE5" s="197" t="str">
        <f>Planning!I85</f>
        <v>Q6 Incremental WY Gen (Existing)</v>
      </c>
      <c r="BF5" s="197" t="str">
        <f>Planning!M85</f>
        <v>Total Benefit</v>
      </c>
      <c r="BK5" s="295" t="str">
        <f>'Cost Allocation'!C142</f>
        <v>Beneficiary</v>
      </c>
      <c r="BL5" s="449" t="str">
        <f>'Cost Allocation'!D142</f>
        <v>PGE TSP</v>
      </c>
      <c r="BM5" s="353" t="str">
        <f>'Cost Allocation'!E142</f>
        <v>Q6 Incremental PAC BAA LSEs Load</v>
      </c>
      <c r="BN5" s="353" t="str">
        <f>'Cost Allocation'!F142</f>
        <v>Q6 WY Wind (New)</v>
      </c>
      <c r="BO5" s="450" t="str">
        <f>'Cost Allocation'!G142</f>
        <v>Q6 Incremental WY Gen (Existing)</v>
      </c>
      <c r="BP5" s="452" t="str">
        <f>'Cost Allocation'!H142</f>
        <v>Sum</v>
      </c>
    </row>
    <row r="6" spans="1:73" x14ac:dyDescent="0.25">
      <c r="G6" s="4"/>
      <c r="H6" s="4"/>
      <c r="I6" s="364"/>
      <c r="J6" s="364"/>
      <c r="K6" s="364"/>
      <c r="L6" s="364"/>
      <c r="M6" s="364"/>
      <c r="N6" s="364"/>
      <c r="O6" s="281"/>
      <c r="P6" s="281"/>
      <c r="Q6" s="281"/>
      <c r="R6" s="281"/>
      <c r="T6" s="101"/>
      <c r="U6" s="106" t="str">
        <f>'Cost Allocation'!C117</f>
        <v>TPV of Average Benefits</v>
      </c>
      <c r="V6" s="104">
        <f>'Cost Allocation'!D117</f>
        <v>0</v>
      </c>
      <c r="W6" s="104">
        <f>'Cost Allocation'!E117</f>
        <v>0</v>
      </c>
      <c r="X6" s="104">
        <f>'Cost Allocation'!F117</f>
        <v>0</v>
      </c>
      <c r="Y6" s="104">
        <f>'Cost Allocation'!G117</f>
        <v>413922.68989800417</v>
      </c>
      <c r="Z6" s="104">
        <f>'Cost Allocation'!H117</f>
        <v>0</v>
      </c>
      <c r="AA6" s="104" t="str">
        <f>'Cost Allocation'!I117</f>
        <v>TPV of Average Benefits</v>
      </c>
      <c r="AC6" s="73" t="s">
        <v>89</v>
      </c>
      <c r="AD6" s="116"/>
      <c r="AE6" s="116"/>
      <c r="AG6" s="256"/>
      <c r="AH6" s="256"/>
      <c r="AI6" s="256"/>
      <c r="AN6" s="256"/>
      <c r="AO6" s="256"/>
      <c r="AP6" s="256"/>
      <c r="AQ6" s="256"/>
      <c r="AR6" s="256"/>
      <c r="AS6" s="295" t="str">
        <f>'Cost Allocation'!C143</f>
        <v>Allocated Costs</v>
      </c>
      <c r="AT6" s="361">
        <f>'Cost Allocation'!D143</f>
        <v>376293.35445273103</v>
      </c>
      <c r="AU6" s="432">
        <f>'Cost Allocation'!E143</f>
        <v>876019459.67985487</v>
      </c>
      <c r="AV6" s="432">
        <f>'Cost Allocation'!F143</f>
        <v>346764809.37458408</v>
      </c>
      <c r="AW6" s="432">
        <f>'Cost Allocation'!G143</f>
        <v>535094780.03646976</v>
      </c>
      <c r="AX6" s="432">
        <f>'Cost Allocation'!H143</f>
        <v>1758255342.4453614</v>
      </c>
      <c r="BB6" s="251" t="str">
        <f>Planning!B86</f>
        <v>DFRTP</v>
      </c>
      <c r="BC6" s="325">
        <f>Planning!D86</f>
        <v>138783317.96634665</v>
      </c>
      <c r="BD6" s="325">
        <f>Planning!H86</f>
        <v>54896512.440021567</v>
      </c>
      <c r="BE6" s="325">
        <f>Planning!I86</f>
        <v>84812027.64610073</v>
      </c>
      <c r="BF6" s="325">
        <f>Planning!M86</f>
        <v>278491858.05246896</v>
      </c>
      <c r="BK6" s="295" t="str">
        <f>'Cost Allocation'!C143</f>
        <v>Allocated Costs</v>
      </c>
      <c r="BL6" s="432">
        <f>'Cost Allocation'!D143</f>
        <v>376293.35445273103</v>
      </c>
      <c r="BM6" s="432">
        <f>'Cost Allocation'!E143</f>
        <v>876019459.67985487</v>
      </c>
      <c r="BN6" s="432">
        <f>'Cost Allocation'!F143</f>
        <v>346764809.37458408</v>
      </c>
      <c r="BO6" s="432">
        <f>'Cost Allocation'!G143</f>
        <v>535094780.03646976</v>
      </c>
      <c r="BP6" s="299">
        <f>'Cost Allocation'!H143</f>
        <v>1758255342.4453614</v>
      </c>
      <c r="BQ6" s="396"/>
    </row>
    <row r="7" spans="1:73" ht="26.25" x14ac:dyDescent="0.25">
      <c r="G7" s="4"/>
      <c r="H7" s="4"/>
      <c r="I7" s="365"/>
      <c r="J7" s="365"/>
      <c r="K7" s="365"/>
      <c r="L7" s="365"/>
      <c r="M7" s="365"/>
      <c r="N7" s="365"/>
      <c r="O7" s="308"/>
      <c r="P7" s="308"/>
      <c r="Q7" s="308"/>
      <c r="R7" s="308"/>
      <c r="T7" s="101"/>
      <c r="U7" s="106" t="str">
        <f>'Cost Allocation'!C119</f>
        <v>Proportion benefit distribution</v>
      </c>
      <c r="V7" s="105">
        <f>'Cost Allocation'!D119</f>
        <v>0</v>
      </c>
      <c r="W7" s="105">
        <f>'Cost Allocation'!E119</f>
        <v>0</v>
      </c>
      <c r="X7" s="105">
        <f>'Cost Allocation'!F119</f>
        <v>0</v>
      </c>
      <c r="Y7" s="105">
        <f>'Cost Allocation'!G119</f>
        <v>2.1401519186023716E-4</v>
      </c>
      <c r="Z7" s="105">
        <f>'Cost Allocation'!H119</f>
        <v>0</v>
      </c>
      <c r="AA7" s="107" t="str">
        <f>'Cost Allocation'!I119</f>
        <v>Proportion benefit distribution</v>
      </c>
      <c r="AC7" s="73" t="s">
        <v>96</v>
      </c>
      <c r="AD7" s="116"/>
      <c r="AE7" s="116"/>
      <c r="AG7" s="256"/>
      <c r="AH7" s="256"/>
      <c r="AI7" s="256"/>
      <c r="AN7" s="256"/>
      <c r="AO7" s="256"/>
      <c r="AP7" s="256"/>
      <c r="AQ7" s="256"/>
      <c r="AR7" s="256"/>
      <c r="AS7" s="296"/>
      <c r="AT7" s="297"/>
      <c r="AU7" s="297"/>
      <c r="AV7" s="297"/>
      <c r="AW7" s="297"/>
      <c r="AX7" s="290"/>
      <c r="BB7" s="251" t="str">
        <f>Planning!B87</f>
        <v>CAC Scenario A</v>
      </c>
      <c r="BC7" s="325">
        <f>Planning!D87</f>
        <v>138783317.96634665</v>
      </c>
      <c r="BD7" s="325">
        <f>Planning!H87</f>
        <v>54896512.440021567</v>
      </c>
      <c r="BE7" s="325">
        <f>Planning!I87</f>
        <v>84812027.64610073</v>
      </c>
      <c r="BF7" s="325">
        <f>Planning!M87</f>
        <v>278491858.05246896</v>
      </c>
      <c r="BK7" s="296"/>
      <c r="BL7" s="297"/>
      <c r="BM7" s="297"/>
      <c r="BN7" s="297"/>
      <c r="BO7" s="297"/>
      <c r="BP7" s="290"/>
      <c r="BQ7" s="396"/>
    </row>
    <row r="8" spans="1:73" ht="26.25" x14ac:dyDescent="0.25">
      <c r="G8" s="4"/>
      <c r="H8" s="4"/>
      <c r="I8" s="364"/>
      <c r="J8" s="364"/>
      <c r="K8" s="364"/>
      <c r="L8" s="364"/>
      <c r="M8" s="364"/>
      <c r="N8" s="364"/>
      <c r="O8" s="308"/>
      <c r="P8" s="308"/>
      <c r="Q8" s="308"/>
      <c r="R8" s="308"/>
      <c r="T8" s="108" t="str">
        <f>'Cost Allocation'!B119</f>
        <v>A</v>
      </c>
      <c r="U8" s="106" t="str">
        <f>'Cost Allocation'!C120</f>
        <v>Capital Cost Portional Allocation</v>
      </c>
      <c r="V8" s="104">
        <f>'Cost Allocation'!D120</f>
        <v>0</v>
      </c>
      <c r="W8" s="104">
        <f>'Cost Allocation'!E120</f>
        <v>0</v>
      </c>
      <c r="X8" s="104">
        <f>'Cost Allocation'!F120</f>
        <v>0</v>
      </c>
      <c r="Y8" s="104">
        <f>'Cost Allocation'!G120</f>
        <v>587263.46359057981</v>
      </c>
      <c r="Z8" s="104">
        <f>'Cost Allocation'!H120</f>
        <v>0</v>
      </c>
      <c r="AA8" s="104" t="str">
        <f>'Cost Allocation'!I120</f>
        <v>Capital Cost Portional Allocation</v>
      </c>
      <c r="AC8" s="237" t="s">
        <v>106</v>
      </c>
      <c r="AD8" s="116">
        <f>Planning!C18</f>
        <v>5877693948</v>
      </c>
      <c r="AE8" s="116"/>
      <c r="AG8" s="256"/>
      <c r="AH8" s="256"/>
      <c r="AI8" s="256"/>
      <c r="AN8" s="256"/>
      <c r="AO8" s="256"/>
      <c r="AP8" s="256"/>
      <c r="AQ8" s="256"/>
      <c r="AR8" s="256"/>
      <c r="AS8" s="298"/>
      <c r="AU8" s="392"/>
      <c r="AV8" s="392"/>
      <c r="AW8" s="392"/>
      <c r="AX8" s="392"/>
      <c r="BB8" s="251" t="str">
        <f>Planning!B88</f>
        <v>CAC Scenario B</v>
      </c>
      <c r="BC8" s="325">
        <f>Planning!D88</f>
        <v>138783317.96634665</v>
      </c>
      <c r="BD8" s="325">
        <f>Planning!H88</f>
        <v>54896512.440021567</v>
      </c>
      <c r="BE8" s="325">
        <f>Planning!I88</f>
        <v>84812027.64610073</v>
      </c>
      <c r="BF8" s="325">
        <f>Planning!M88</f>
        <v>278491858.05246896</v>
      </c>
      <c r="BK8" s="298"/>
      <c r="BL8" s="289"/>
      <c r="BM8" s="289"/>
      <c r="BN8" s="289"/>
      <c r="BO8" s="289"/>
      <c r="BP8" s="392"/>
      <c r="BQ8" s="396"/>
    </row>
    <row r="9" spans="1:73" ht="26.25" x14ac:dyDescent="0.25">
      <c r="B9" s="51"/>
      <c r="C9" s="51"/>
      <c r="D9" s="51"/>
      <c r="E9" s="51"/>
      <c r="F9" s="51"/>
      <c r="G9" s="4"/>
      <c r="H9" s="4"/>
      <c r="I9" s="134"/>
      <c r="J9" s="126"/>
      <c r="K9" s="126"/>
      <c r="L9" s="126"/>
      <c r="M9" s="126"/>
      <c r="N9" s="123"/>
      <c r="O9" s="123"/>
      <c r="P9" s="123"/>
      <c r="Q9" s="123"/>
      <c r="R9" s="123"/>
      <c r="T9" s="108" t="str">
        <f>'Cost Allocation'!B122</f>
        <v>B</v>
      </c>
      <c r="U9" s="106" t="str">
        <f>'Cost Allocation'!C122</f>
        <v>TPV of Average Benefits/1.10</v>
      </c>
      <c r="V9" s="104">
        <f>'Cost Allocation'!D122</f>
        <v>0</v>
      </c>
      <c r="W9" s="104">
        <f>'Cost Allocation'!E122</f>
        <v>0</v>
      </c>
      <c r="X9" s="104">
        <f>'Cost Allocation'!F122</f>
        <v>0</v>
      </c>
      <c r="Y9" s="104">
        <f>'Cost Allocation'!G122</f>
        <v>376293.35445273103</v>
      </c>
      <c r="Z9" s="104">
        <f>'Cost Allocation'!H122</f>
        <v>0</v>
      </c>
      <c r="AA9" s="104" t="str">
        <f>'Cost Allocation'!I122</f>
        <v>TPV of Average Benefits/1.10</v>
      </c>
      <c r="AC9" s="237" t="s">
        <v>104</v>
      </c>
      <c r="AD9" s="116"/>
      <c r="AE9" s="116"/>
      <c r="AG9" s="256"/>
      <c r="AH9" s="256"/>
      <c r="AI9" s="256"/>
      <c r="AN9" s="256"/>
      <c r="AO9" s="256"/>
      <c r="AP9" s="256"/>
      <c r="AQ9" s="256"/>
      <c r="AR9" s="256"/>
      <c r="AS9" s="290"/>
      <c r="AT9" s="432" t="str">
        <f>'Cost Allocation'!D149</f>
        <v>Total</v>
      </c>
      <c r="AU9" s="198"/>
      <c r="AV9" s="198"/>
      <c r="AW9" s="198"/>
      <c r="AX9" s="198"/>
      <c r="BB9" s="251" t="str">
        <f>Planning!B89</f>
        <v>CAC Scenario C</v>
      </c>
      <c r="BC9" s="325">
        <f>Planning!D89</f>
        <v>138783317.96634665</v>
      </c>
      <c r="BD9" s="325">
        <f>Planning!H89</f>
        <v>37187263.171689659</v>
      </c>
      <c r="BE9" s="325">
        <f>Planning!I89</f>
        <v>102521276.91443264</v>
      </c>
      <c r="BF9" s="325">
        <f>Planning!M89</f>
        <v>278491858.05246896</v>
      </c>
      <c r="BP9" s="198"/>
      <c r="BQ9" s="290"/>
      <c r="BR9" s="432" t="str">
        <f>'Cost Allocation'!D149</f>
        <v>Total</v>
      </c>
      <c r="BS9" s="198"/>
      <c r="BT9" s="198"/>
      <c r="BU9" s="198"/>
    </row>
    <row r="10" spans="1:73" ht="30" x14ac:dyDescent="0.25">
      <c r="A10" s="51"/>
      <c r="B10" s="206"/>
      <c r="C10" s="92"/>
      <c r="D10" s="92"/>
      <c r="E10" s="92"/>
      <c r="F10" s="92"/>
      <c r="G10" s="23"/>
      <c r="H10" s="383"/>
      <c r="I10" s="249"/>
      <c r="J10" s="249"/>
      <c r="K10" s="249"/>
      <c r="L10" s="249"/>
      <c r="M10" s="270"/>
      <c r="N10" s="176"/>
      <c r="O10" s="176"/>
      <c r="P10" s="176"/>
      <c r="Q10" s="176"/>
      <c r="R10" s="176"/>
      <c r="T10" s="101"/>
      <c r="U10" s="106" t="str">
        <f>'Cost Allocation'!C124</f>
        <v>Allocated costs lesser of A or B above</v>
      </c>
      <c r="V10" s="104">
        <f>'Cost Allocation'!D124</f>
        <v>0</v>
      </c>
      <c r="W10" s="104">
        <f>'Cost Allocation'!E124</f>
        <v>0</v>
      </c>
      <c r="X10" s="104">
        <f>'Cost Allocation'!F124</f>
        <v>0</v>
      </c>
      <c r="Y10" s="104">
        <f>'Cost Allocation'!G124</f>
        <v>376293.35445273103</v>
      </c>
      <c r="Z10" s="104">
        <f>'Cost Allocation'!H124</f>
        <v>0</v>
      </c>
      <c r="AA10" s="104" t="str">
        <f>'Cost Allocation'!I124</f>
        <v>Allocated costs lesser of A or B above</v>
      </c>
      <c r="AC10" s="237" t="s">
        <v>105</v>
      </c>
      <c r="AD10" s="116"/>
      <c r="AE10" s="116">
        <f>Planning!F10</f>
        <v>2744026994</v>
      </c>
      <c r="AG10" s="256"/>
      <c r="AH10" s="256"/>
      <c r="AI10" s="256"/>
      <c r="AN10" s="256"/>
      <c r="AO10" s="256"/>
      <c r="AP10" s="256"/>
      <c r="AQ10" s="256"/>
      <c r="AR10" s="256"/>
      <c r="AS10" s="300" t="str">
        <f>'Cost Allocation'!C150</f>
        <v xml:space="preserve">Alternative Project Capital Cost </v>
      </c>
      <c r="AT10" s="300">
        <f>'Cost Allocation'!D150</f>
        <v>2744026994</v>
      </c>
      <c r="AU10" s="303"/>
      <c r="AV10" s="303"/>
      <c r="AW10" s="303"/>
      <c r="AX10" s="303"/>
      <c r="BB10" s="251" t="str">
        <f>Planning!B90</f>
        <v>CAC Scenario D</v>
      </c>
      <c r="BC10" s="325">
        <f>Planning!D90</f>
        <v>138783317.96634665</v>
      </c>
      <c r="BD10" s="325">
        <f>Planning!H90</f>
        <v>72804145.617365435</v>
      </c>
      <c r="BE10" s="325">
        <f>Planning!I90</f>
        <v>66904394.468756877</v>
      </c>
      <c r="BF10" s="325">
        <f>Planning!M90</f>
        <v>278491858.05246896</v>
      </c>
      <c r="BP10" s="198"/>
      <c r="BQ10" s="435" t="str">
        <f>'Cost Allocation'!C150</f>
        <v xml:space="preserve">Alternative Project Capital Cost </v>
      </c>
      <c r="BR10" s="302">
        <f>'Cost Allocation'!D150</f>
        <v>2744026994</v>
      </c>
      <c r="BS10" s="198"/>
      <c r="BT10" s="198"/>
      <c r="BU10" s="198"/>
    </row>
    <row r="11" spans="1:73" ht="45" x14ac:dyDescent="0.25">
      <c r="B11" s="164"/>
      <c r="C11" s="539"/>
      <c r="D11" s="539"/>
      <c r="E11" s="539"/>
      <c r="F11" s="539"/>
      <c r="G11" s="51"/>
      <c r="H11" s="394"/>
      <c r="I11" s="134"/>
      <c r="J11" s="126"/>
      <c r="K11" s="130"/>
      <c r="L11" s="493"/>
      <c r="M11" s="126"/>
      <c r="N11" s="123"/>
      <c r="O11" s="123"/>
      <c r="P11" s="123"/>
      <c r="Q11" s="123"/>
      <c r="R11" s="123"/>
      <c r="AC11" s="237" t="s">
        <v>119</v>
      </c>
      <c r="AD11" s="116"/>
      <c r="AE11" s="116">
        <f>AD8-AE10</f>
        <v>3133666954</v>
      </c>
      <c r="AG11" s="256"/>
      <c r="AH11" s="256"/>
      <c r="AI11" s="256"/>
      <c r="AN11" s="256"/>
      <c r="AO11" s="256"/>
      <c r="AP11" s="256"/>
      <c r="AQ11" s="256"/>
      <c r="AR11" s="256"/>
      <c r="AS11" s="357" t="str">
        <f>'Cost Allocation'!C151</f>
        <v>Beneficiary Allocation of Alternative Project Capital Cost</v>
      </c>
      <c r="AT11" s="357">
        <f>'Cost Allocation'!D151</f>
        <v>1758255342.4453614</v>
      </c>
      <c r="AU11" s="303"/>
      <c r="AV11" s="303"/>
      <c r="AW11" s="303"/>
      <c r="AX11" s="303"/>
      <c r="BP11" s="198"/>
      <c r="BQ11" s="435" t="str">
        <f>'Cost Allocation'!C151</f>
        <v>Beneficiary Allocation of Alternative Project Capital Cost</v>
      </c>
      <c r="BR11" s="302">
        <f>'Cost Allocation'!D151</f>
        <v>1758255342.4453614</v>
      </c>
      <c r="BS11" s="198"/>
      <c r="BT11" s="198"/>
      <c r="BU11" s="198"/>
    </row>
    <row r="12" spans="1:73" ht="22.5" customHeight="1" x14ac:dyDescent="0.25">
      <c r="B12" s="418"/>
      <c r="C12" s="593" t="str">
        <f>Planning!D145</f>
        <v>Loss Benefit</v>
      </c>
      <c r="D12" s="593"/>
      <c r="E12" s="593"/>
      <c r="F12" s="593"/>
      <c r="G12" s="51"/>
      <c r="H12" s="354"/>
      <c r="I12" s="134"/>
      <c r="J12" s="126"/>
      <c r="K12" s="130"/>
      <c r="L12" s="131"/>
      <c r="M12" s="126"/>
      <c r="N12" s="123"/>
      <c r="O12" s="123"/>
      <c r="P12" s="123"/>
      <c r="Q12" s="123"/>
      <c r="R12" s="123"/>
      <c r="AS12" s="302" t="str">
        <f>'Cost Allocation'!C152</f>
        <v>Remaining Costs</v>
      </c>
      <c r="AT12" s="455">
        <f>'Cost Allocation'!D152</f>
        <v>985771651.55463862</v>
      </c>
      <c r="AU12" s="592" t="str">
        <f>'Cost Allocation'!E152</f>
        <v>Had the Alternative Project been a Sponsored Project or submitted by a stakeholder (each an “Applicant”), the Applicant could voluntarily accept the remaining project costs of $985,771,652.  If the Applicant did not accept remaining costs, the project was no longer eligible for cost allocation.                                                                                                                                                    In this case, since the Alternative Project is an unsponsored project identified by the Planning Committee, there is not an Applicant to accept the remaining costs of the project.   As a result, since all project cots cannot be allocated to Beneficiaries, the Alternative Project is not eligible for cost allocation</v>
      </c>
      <c r="AV12" s="584"/>
      <c r="AW12" s="584"/>
      <c r="AX12" s="585"/>
      <c r="BP12" s="298"/>
      <c r="BQ12" s="456" t="str">
        <f>'Cost Allocation'!C152</f>
        <v>Remaining Costs</v>
      </c>
      <c r="BR12" s="455">
        <f>'Cost Allocation'!D152</f>
        <v>985771651.55463862</v>
      </c>
      <c r="BS12" s="584" t="s">
        <v>151</v>
      </c>
      <c r="BT12" s="584"/>
      <c r="BU12" s="585"/>
    </row>
    <row r="13" spans="1:73" x14ac:dyDescent="0.25">
      <c r="B13" s="419" t="str">
        <f>Planning!C146</f>
        <v>Beneficiaries</v>
      </c>
      <c r="C13" s="419" t="str">
        <f>Planning!D146</f>
        <v>IPC TSP</v>
      </c>
      <c r="D13" s="419" t="str">
        <f>Planning!E146</f>
        <v>NWE TSP</v>
      </c>
      <c r="E13" s="419" t="str">
        <f>Planning!F146</f>
        <v>PAC TSP</v>
      </c>
      <c r="F13" s="419" t="str">
        <f>Planning!G146</f>
        <v>PGE TSP</v>
      </c>
      <c r="G13" s="51"/>
      <c r="H13" s="201"/>
      <c r="I13" s="134"/>
      <c r="J13" s="126"/>
      <c r="K13" s="136" t="s">
        <v>95</v>
      </c>
      <c r="L13" s="431" t="s">
        <v>0</v>
      </c>
      <c r="M13" s="431" t="s">
        <v>24</v>
      </c>
      <c r="N13" s="123"/>
      <c r="O13" s="123"/>
      <c r="P13" s="123"/>
      <c r="Q13" s="123"/>
      <c r="R13" s="123"/>
      <c r="AG13" s="115"/>
      <c r="AH13" s="115"/>
      <c r="AI13" s="115"/>
      <c r="AN13" s="115"/>
      <c r="AO13" s="115"/>
      <c r="AP13" s="115"/>
      <c r="AQ13" s="115"/>
      <c r="AR13" s="115"/>
      <c r="AS13" s="115"/>
      <c r="AU13" s="586"/>
      <c r="AV13" s="587"/>
      <c r="AW13" s="587"/>
      <c r="AX13" s="588"/>
      <c r="BQ13" s="396"/>
      <c r="BS13" s="586"/>
      <c r="BT13" s="587"/>
      <c r="BU13" s="588"/>
    </row>
    <row r="14" spans="1:73" x14ac:dyDescent="0.25">
      <c r="B14" s="197" t="str">
        <f>Planning!C147</f>
        <v>DFRTP</v>
      </c>
      <c r="C14" s="197">
        <f>Planning!D147</f>
        <v>-777137</v>
      </c>
      <c r="D14" s="197">
        <f>Planning!E147</f>
        <v>-66699</v>
      </c>
      <c r="E14" s="197">
        <f>Planning!F147</f>
        <v>-251599</v>
      </c>
      <c r="F14" s="197">
        <f>Planning!G147</f>
        <v>84846</v>
      </c>
      <c r="G14" s="51"/>
      <c r="H14" s="201"/>
      <c r="I14" s="134"/>
      <c r="J14" s="109" t="str">
        <f>Planning!B18</f>
        <v xml:space="preserve">Non-Committed IRP Projects </v>
      </c>
      <c r="K14" s="472">
        <f>Planning!C18/10^9</f>
        <v>5.8776939480000001</v>
      </c>
      <c r="L14" s="473"/>
      <c r="M14" s="472"/>
      <c r="N14" s="123"/>
      <c r="O14" s="123"/>
      <c r="P14" s="123"/>
      <c r="Q14" s="123"/>
      <c r="R14" s="123"/>
      <c r="AG14" s="115"/>
      <c r="AH14" s="115"/>
      <c r="AI14" s="115"/>
      <c r="AN14" s="115"/>
      <c r="AO14" s="115"/>
      <c r="AP14" s="115"/>
      <c r="AQ14" s="115"/>
      <c r="AR14" s="115"/>
      <c r="AS14" s="115"/>
      <c r="AU14" s="589"/>
      <c r="AV14" s="590"/>
      <c r="AW14" s="590"/>
      <c r="AX14" s="591"/>
      <c r="BQ14" s="396"/>
      <c r="BS14" s="586"/>
      <c r="BT14" s="587"/>
      <c r="BU14" s="588"/>
    </row>
    <row r="15" spans="1:73" x14ac:dyDescent="0.25">
      <c r="B15" s="419" t="str">
        <f>Planning!C148</f>
        <v>CAC Scenario A</v>
      </c>
      <c r="C15" s="417">
        <f>Planning!D148</f>
        <v>-922590.92028320953</v>
      </c>
      <c r="D15" s="417">
        <f>Planning!E148</f>
        <v>-263766.00109261274</v>
      </c>
      <c r="E15" s="417">
        <f>Planning!F148</f>
        <v>-538304.3056371212</v>
      </c>
      <c r="F15" s="417">
        <f>Planning!G148</f>
        <v>79959.62255824171</v>
      </c>
      <c r="G15" s="51"/>
      <c r="H15" s="51"/>
      <c r="I15" s="123"/>
      <c r="J15" s="109" t="s">
        <v>148</v>
      </c>
      <c r="K15" s="473"/>
      <c r="L15" s="473"/>
      <c r="M15" s="472">
        <f>Planning!E25/10^9</f>
        <v>0.96362140564784049</v>
      </c>
      <c r="N15" s="123"/>
      <c r="O15" s="123"/>
      <c r="P15" s="123"/>
      <c r="Q15" s="123"/>
      <c r="R15" s="123"/>
      <c r="AG15" s="115"/>
      <c r="AH15" s="115"/>
      <c r="AI15" s="405"/>
      <c r="AN15" s="115"/>
      <c r="AO15" s="115"/>
      <c r="AP15" s="115"/>
      <c r="AQ15" s="115"/>
      <c r="AR15" s="115"/>
      <c r="AS15" s="115"/>
      <c r="BQ15" s="396"/>
      <c r="BS15" s="589"/>
      <c r="BT15" s="590"/>
      <c r="BU15" s="591"/>
    </row>
    <row r="16" spans="1:73" x14ac:dyDescent="0.25">
      <c r="B16" s="419" t="str">
        <f>Planning!C149</f>
        <v>CAC Scenario B</v>
      </c>
      <c r="C16" s="417">
        <f>Planning!D149</f>
        <v>-635839.05382926762</v>
      </c>
      <c r="D16" s="417">
        <f>Planning!E149</f>
        <v>-218288.50365309417</v>
      </c>
      <c r="E16" s="417">
        <f>Planning!F149</f>
        <v>-419038.98202031106</v>
      </c>
      <c r="F16" s="417">
        <f>Planning!G149</f>
        <v>79959.300169384107</v>
      </c>
      <c r="I16" s="123"/>
      <c r="J16" s="109" t="s">
        <v>147</v>
      </c>
      <c r="K16" s="472"/>
      <c r="L16" s="473"/>
      <c r="M16" s="472">
        <f>Planning!E26/10^9</f>
        <v>0.38116580045625692</v>
      </c>
      <c r="N16" s="123"/>
      <c r="O16" s="123"/>
      <c r="P16" s="123"/>
      <c r="Q16" s="123"/>
      <c r="R16" s="123"/>
      <c r="AG16" s="115"/>
      <c r="AH16" s="115"/>
      <c r="AI16" s="405"/>
      <c r="AN16" s="115"/>
      <c r="AO16" s="115"/>
      <c r="AP16" s="115"/>
      <c r="AQ16" s="115"/>
      <c r="AR16" s="115"/>
      <c r="AS16" s="115"/>
    </row>
    <row r="17" spans="2:46" x14ac:dyDescent="0.25">
      <c r="B17" s="419" t="str">
        <f>Planning!C150</f>
        <v>CAC Scenario C</v>
      </c>
      <c r="C17" s="417">
        <f>Planning!D150</f>
        <v>-398957.79228290543</v>
      </c>
      <c r="D17" s="417">
        <f>Planning!E150</f>
        <v>-163716.40838254616</v>
      </c>
      <c r="E17" s="417">
        <f>Planning!F150</f>
        <v>-307395.18411602825</v>
      </c>
      <c r="F17" s="417">
        <f>Planning!G150</f>
        <v>53306.313472522423</v>
      </c>
      <c r="I17" s="123"/>
      <c r="J17" s="109" t="s">
        <v>146</v>
      </c>
      <c r="K17" s="472"/>
      <c r="L17" s="473"/>
      <c r="M17" s="472">
        <f>Planning!E27/10^9</f>
        <v>0.58887974789590247</v>
      </c>
      <c r="N17" s="123"/>
      <c r="O17" s="123"/>
      <c r="P17" s="123"/>
      <c r="Q17" s="123"/>
      <c r="R17" s="123"/>
      <c r="AG17" s="115"/>
      <c r="AH17" s="115"/>
      <c r="AI17" s="405"/>
      <c r="AN17" s="115"/>
      <c r="AO17" s="115"/>
      <c r="AP17" s="115"/>
      <c r="AQ17" s="115"/>
      <c r="AR17" s="115"/>
      <c r="AS17" s="115"/>
    </row>
    <row r="18" spans="2:46" x14ac:dyDescent="0.25">
      <c r="B18" s="419" t="str">
        <f>Planning!C151</f>
        <v>CAC Scenario D</v>
      </c>
      <c r="C18" s="417">
        <f>Planning!D151</f>
        <v>-62337.163094229996</v>
      </c>
      <c r="D18" s="417">
        <f>Planning!E151</f>
        <v>27285.97480429709</v>
      </c>
      <c r="E18" s="417">
        <f>Planning!F151</f>
        <v>-92213.112222775817</v>
      </c>
      <c r="F18" s="417">
        <f>Planning!G151</f>
        <v>-2.2647641599178314E-3</v>
      </c>
      <c r="I18" s="123"/>
      <c r="J18" s="123" t="s">
        <v>159</v>
      </c>
      <c r="K18" s="472"/>
      <c r="L18" s="472">
        <f>Planning!F10/10^9</f>
        <v>2.7440269939999999</v>
      </c>
      <c r="M18" s="472">
        <f>L18</f>
        <v>2.7440269939999999</v>
      </c>
      <c r="N18" s="123"/>
      <c r="O18" s="123"/>
      <c r="P18" s="123"/>
      <c r="Q18" s="123"/>
      <c r="R18" s="123"/>
      <c r="AG18" s="115"/>
      <c r="AH18" s="115"/>
      <c r="AI18" s="405"/>
      <c r="AN18" s="115"/>
      <c r="AO18" s="115"/>
      <c r="AP18" s="115"/>
      <c r="AQ18" s="115"/>
      <c r="AR18" s="115"/>
      <c r="AS18" s="115"/>
    </row>
    <row r="19" spans="2:46" x14ac:dyDescent="0.25">
      <c r="I19" s="123"/>
      <c r="J19" s="109" t="s">
        <v>65</v>
      </c>
      <c r="K19" s="472"/>
      <c r="L19" s="472">
        <f>SUM(M15:M17)</f>
        <v>1.933666954</v>
      </c>
      <c r="M19" s="473"/>
      <c r="N19" s="123"/>
      <c r="O19" s="123"/>
      <c r="P19" s="123"/>
      <c r="Q19" s="123"/>
      <c r="R19" s="123"/>
      <c r="AG19" s="115"/>
      <c r="AH19" s="115"/>
      <c r="AI19" s="405"/>
      <c r="AN19" s="115"/>
      <c r="AO19" s="115"/>
      <c r="AP19" s="115"/>
      <c r="AQ19" s="115"/>
      <c r="AR19" s="115"/>
      <c r="AS19" s="115"/>
    </row>
    <row r="20" spans="2:46" x14ac:dyDescent="0.25">
      <c r="I20" s="123"/>
      <c r="J20" s="123" t="s">
        <v>158</v>
      </c>
      <c r="K20" s="130"/>
      <c r="L20" s="472">
        <f>1.2</f>
        <v>1.2</v>
      </c>
      <c r="M20" s="126">
        <f>L20</f>
        <v>1.2</v>
      </c>
      <c r="N20" s="123"/>
      <c r="O20" s="123"/>
      <c r="P20" s="123"/>
      <c r="Q20" s="123"/>
      <c r="R20" s="123"/>
      <c r="AG20" s="115"/>
      <c r="AH20" s="115"/>
      <c r="AI20" s="115"/>
      <c r="AJ20" s="115"/>
      <c r="AK20" s="115"/>
      <c r="AL20" s="115"/>
      <c r="AM20" s="115"/>
      <c r="AN20" s="115"/>
      <c r="AO20" s="115"/>
      <c r="AP20" s="115"/>
      <c r="AQ20" s="115"/>
      <c r="AR20" s="115"/>
      <c r="AS20" s="115"/>
    </row>
    <row r="21" spans="2:46" x14ac:dyDescent="0.25">
      <c r="AG21" s="115"/>
      <c r="AH21" s="115"/>
      <c r="AI21" s="115"/>
      <c r="AJ21" s="115"/>
      <c r="AK21" s="115"/>
      <c r="AL21" s="115"/>
      <c r="AM21" s="115"/>
      <c r="AN21" s="115"/>
      <c r="AO21" s="115"/>
      <c r="AP21" s="115"/>
      <c r="AQ21" s="115"/>
      <c r="AR21" s="115"/>
      <c r="AS21" s="115"/>
    </row>
    <row r="22" spans="2:46" x14ac:dyDescent="0.25">
      <c r="AG22" s="115"/>
      <c r="AH22" s="115"/>
      <c r="AI22" s="115"/>
      <c r="AJ22" s="115"/>
      <c r="AK22" s="115"/>
      <c r="AL22" s="115"/>
      <c r="AM22" s="115"/>
      <c r="AN22" s="115"/>
      <c r="AO22" s="115"/>
      <c r="AP22" s="115"/>
      <c r="AQ22" s="115"/>
      <c r="AR22" s="115"/>
      <c r="AS22" s="115"/>
    </row>
    <row r="23" spans="2:46" x14ac:dyDescent="0.25">
      <c r="AG23" s="115"/>
      <c r="AH23" s="115"/>
      <c r="AI23" s="115"/>
      <c r="AJ23" s="115"/>
      <c r="AK23" s="115"/>
      <c r="AL23" s="115"/>
      <c r="AM23" s="115"/>
      <c r="AN23" s="115"/>
      <c r="AO23" s="115"/>
      <c r="AP23" s="115"/>
      <c r="AQ23" s="115"/>
      <c r="AR23" s="115"/>
      <c r="AS23" s="115"/>
    </row>
    <row r="24" spans="2:46" x14ac:dyDescent="0.25">
      <c r="AG24" s="115"/>
      <c r="AH24" s="115"/>
      <c r="AI24" s="115"/>
      <c r="AJ24" s="115"/>
      <c r="AK24" s="115"/>
      <c r="AL24" s="115"/>
      <c r="AM24" s="115"/>
      <c r="AN24" s="115"/>
      <c r="AO24" s="115"/>
      <c r="AP24" s="115"/>
      <c r="AQ24" s="115"/>
      <c r="AR24" s="115"/>
      <c r="AS24" s="115"/>
    </row>
    <row r="25" spans="2:46" x14ac:dyDescent="0.25">
      <c r="AG25" s="115"/>
      <c r="AH25" s="115"/>
      <c r="AI25" s="115"/>
      <c r="AJ25" s="115"/>
      <c r="AK25" s="115"/>
      <c r="AL25" s="115"/>
      <c r="AM25" s="115"/>
      <c r="AN25" s="115"/>
      <c r="AO25" s="115"/>
      <c r="AP25" s="115"/>
      <c r="AQ25" s="115"/>
      <c r="AR25" s="115"/>
      <c r="AS25" s="115"/>
    </row>
    <row r="26" spans="2:46" x14ac:dyDescent="0.25">
      <c r="AG26" s="115"/>
      <c r="AH26" s="115"/>
      <c r="AI26" s="115"/>
      <c r="AJ26" s="115"/>
      <c r="AK26" s="115"/>
      <c r="AL26" s="115"/>
      <c r="AM26" s="115"/>
      <c r="AN26" s="115"/>
      <c r="AO26" s="115"/>
      <c r="AP26" s="115"/>
      <c r="AQ26" s="115"/>
      <c r="AR26" s="115"/>
      <c r="AS26" s="115"/>
    </row>
    <row r="27" spans="2:46" x14ac:dyDescent="0.25">
      <c r="AG27" s="115"/>
      <c r="AH27" s="115"/>
      <c r="AI27" s="115"/>
      <c r="AJ27" s="115"/>
      <c r="AK27" s="115"/>
      <c r="AL27" s="115"/>
      <c r="AM27" s="115"/>
      <c r="AN27" s="115"/>
      <c r="AO27" s="115"/>
      <c r="AP27" s="115"/>
      <c r="AQ27" s="115"/>
      <c r="AR27" s="115"/>
      <c r="AS27" s="115"/>
    </row>
    <row r="28" spans="2:46" x14ac:dyDescent="0.25">
      <c r="AG28" s="115"/>
      <c r="AH28" s="115"/>
      <c r="AI28" s="115"/>
      <c r="AJ28" s="115"/>
      <c r="AK28" s="115"/>
      <c r="AL28" s="115"/>
      <c r="AM28" s="115"/>
      <c r="AN28" s="115"/>
      <c r="AO28" s="115"/>
      <c r="AP28" s="115"/>
      <c r="AQ28" s="115"/>
      <c r="AR28" s="115"/>
      <c r="AS28" s="115"/>
      <c r="AT28" s="115"/>
    </row>
    <row r="29" spans="2:46" x14ac:dyDescent="0.25">
      <c r="AG29" s="115"/>
      <c r="AH29" s="115"/>
      <c r="AI29" s="115"/>
      <c r="AJ29" s="123"/>
      <c r="AK29" s="581" t="s">
        <v>141</v>
      </c>
      <c r="AL29" s="582"/>
      <c r="AM29" s="583"/>
      <c r="AN29" s="115"/>
      <c r="AO29" s="115"/>
      <c r="AP29" s="115"/>
      <c r="AQ29" s="115"/>
      <c r="AR29" s="115"/>
      <c r="AS29" s="115"/>
      <c r="AT29" s="115"/>
    </row>
    <row r="30" spans="2:46" x14ac:dyDescent="0.25">
      <c r="AG30" s="115"/>
      <c r="AH30" s="115"/>
      <c r="AI30" s="115"/>
      <c r="AJ30" s="441" t="str">
        <f>Planning!B24</f>
        <v>DFRTP Beneficiaries</v>
      </c>
      <c r="AK30" s="491" t="str">
        <f>Planning!C24</f>
        <v>MW</v>
      </c>
      <c r="AL30" s="410" t="str">
        <f>Planning!D24</f>
        <v>Pct</v>
      </c>
      <c r="AM30" s="283" t="str">
        <f>Planning!E24</f>
        <v>DFRTP Benefit</v>
      </c>
      <c r="AN30" s="115"/>
      <c r="AO30" s="115"/>
      <c r="AP30" s="115"/>
      <c r="AQ30" s="115"/>
      <c r="AR30" s="115"/>
      <c r="AS30" s="115"/>
      <c r="AT30" s="115"/>
    </row>
    <row r="31" spans="2:46" ht="30" x14ac:dyDescent="0.25">
      <c r="AG31" s="115"/>
      <c r="AH31" s="115"/>
      <c r="AI31" s="115"/>
      <c r="AJ31" s="411" t="str">
        <f>Planning!B25</f>
        <v>Q6 Incremental PAC BAA LSEs Load</v>
      </c>
      <c r="AK31" s="491">
        <f>Planning!C25</f>
        <v>1800</v>
      </c>
      <c r="AL31" s="410">
        <f>Planning!D25</f>
        <v>0.49833887043189368</v>
      </c>
      <c r="AM31" s="283">
        <f>Planning!E25</f>
        <v>963621405.6478405</v>
      </c>
      <c r="AN31" s="115"/>
      <c r="AO31" s="115"/>
      <c r="AP31" s="115"/>
      <c r="AQ31" s="115"/>
      <c r="AR31" s="115"/>
      <c r="AS31" s="115"/>
      <c r="AT31" s="115"/>
    </row>
    <row r="32" spans="2:46" ht="28.5" customHeight="1" x14ac:dyDescent="0.25">
      <c r="AG32" s="115"/>
      <c r="AH32" s="115"/>
      <c r="AI32" s="115"/>
      <c r="AJ32" s="412" t="str">
        <f>Planning!B26</f>
        <v>Q6 WY Wind (New)</v>
      </c>
      <c r="AK32" s="492">
        <f>Planning!C26</f>
        <v>712</v>
      </c>
      <c r="AL32" s="410">
        <f>Planning!D26</f>
        <v>0.19712070874861573</v>
      </c>
      <c r="AM32" s="283">
        <f>Planning!E26</f>
        <v>381165800.45625693</v>
      </c>
      <c r="AN32" s="115"/>
      <c r="AO32" s="115"/>
      <c r="AP32" s="115"/>
      <c r="AQ32" s="115"/>
      <c r="AR32" s="115"/>
      <c r="AS32" s="115"/>
      <c r="AT32" s="115"/>
    </row>
    <row r="33" spans="11:76" ht="30" x14ac:dyDescent="0.25">
      <c r="AG33" s="115"/>
      <c r="AH33" s="115"/>
      <c r="AI33" s="115"/>
      <c r="AJ33" s="411" t="str">
        <f>Planning!B27</f>
        <v>Q6 Incremental WY Gen (Existing)</v>
      </c>
      <c r="AK33" s="492">
        <f>Planning!C27</f>
        <v>1100</v>
      </c>
      <c r="AL33" s="410">
        <f>Planning!D27</f>
        <v>0.30454042081949056</v>
      </c>
      <c r="AM33" s="283">
        <f>Planning!E27</f>
        <v>588879747.89590251</v>
      </c>
      <c r="AN33" s="115"/>
      <c r="AO33" s="115"/>
      <c r="AP33" s="115"/>
      <c r="AQ33" s="115"/>
      <c r="AR33" s="115"/>
      <c r="AS33" s="115"/>
      <c r="AT33" s="115"/>
    </row>
    <row r="34" spans="11:76" x14ac:dyDescent="0.25">
      <c r="K34" s="201"/>
      <c r="L34" s="566" t="str">
        <f>'Cost Allocation'!D24</f>
        <v>Loss Benefit</v>
      </c>
      <c r="M34" s="567">
        <f>'Cost Allocation'!E24</f>
        <v>0</v>
      </c>
      <c r="N34" s="567">
        <f>'Cost Allocation'!F24</f>
        <v>0</v>
      </c>
      <c r="O34" s="568">
        <f>'Cost Allocation'!G24</f>
        <v>0</v>
      </c>
      <c r="P34" s="9"/>
      <c r="Q34" s="9"/>
      <c r="R34" s="9"/>
      <c r="S34" s="9"/>
      <c r="T34" s="9"/>
      <c r="U34" s="9"/>
      <c r="AG34" s="115"/>
      <c r="AH34" s="115"/>
      <c r="AI34" s="115"/>
      <c r="AJ34" s="412" t="str">
        <f>Planning!B28</f>
        <v>Q6 Total</v>
      </c>
      <c r="AK34" s="442">
        <f>Planning!C28</f>
        <v>3612</v>
      </c>
      <c r="AL34" s="413">
        <f>Planning!D28</f>
        <v>1</v>
      </c>
      <c r="AM34" s="283">
        <f>Planning!E28</f>
        <v>1933666954</v>
      </c>
      <c r="AN34" s="115"/>
      <c r="AO34" s="115"/>
      <c r="AP34" s="115"/>
      <c r="AQ34" s="115"/>
      <c r="AR34" s="115"/>
      <c r="AS34" s="115"/>
      <c r="AT34" s="115"/>
    </row>
    <row r="35" spans="11:76" x14ac:dyDescent="0.25">
      <c r="K35" s="330"/>
      <c r="L35" s="330" t="str">
        <f>'Cost Allocation'!D25</f>
        <v>IPC TSP</v>
      </c>
      <c r="M35" s="331" t="str">
        <f>'Cost Allocation'!E25</f>
        <v>NWE TSP</v>
      </c>
      <c r="N35" s="331" t="str">
        <f>'Cost Allocation'!F25</f>
        <v>PAC TSP</v>
      </c>
      <c r="O35" s="331" t="str">
        <f>'Cost Allocation'!G25</f>
        <v>PGE TSP</v>
      </c>
      <c r="P35" s="9"/>
      <c r="Q35" s="9"/>
      <c r="R35" s="9"/>
      <c r="S35" s="9"/>
      <c r="T35" s="9"/>
      <c r="U35" s="9"/>
      <c r="AG35" s="115"/>
      <c r="AH35" s="115"/>
      <c r="AI35" s="115"/>
      <c r="AJ35" s="115"/>
      <c r="AK35" s="115"/>
      <c r="AL35" s="115"/>
      <c r="AM35" s="115"/>
      <c r="AN35" s="115"/>
      <c r="AO35" s="115"/>
      <c r="AP35" s="115"/>
      <c r="AQ35" s="115"/>
      <c r="AR35" s="115"/>
      <c r="AS35" s="115"/>
      <c r="AT35" s="115"/>
    </row>
    <row r="36" spans="11:76" x14ac:dyDescent="0.25">
      <c r="K36" s="203" t="str">
        <f>'Cost Allocation'!C26</f>
        <v>DFRTP</v>
      </c>
      <c r="L36" s="20">
        <f>'Cost Allocation'!D26</f>
        <v>-777137</v>
      </c>
      <c r="M36" s="20">
        <f>'Cost Allocation'!E26</f>
        <v>-66699</v>
      </c>
      <c r="N36" s="20">
        <f>'Cost Allocation'!F26</f>
        <v>-251599</v>
      </c>
      <c r="O36" s="20">
        <f>'Cost Allocation'!G26</f>
        <v>84846</v>
      </c>
      <c r="P36" s="9"/>
      <c r="Q36" s="9"/>
      <c r="R36" s="9"/>
      <c r="S36" s="9"/>
      <c r="T36" s="9"/>
      <c r="U36" s="9"/>
      <c r="AG36" s="115"/>
      <c r="AH36" s="115"/>
      <c r="AI36" s="115"/>
      <c r="AJ36" s="115"/>
      <c r="AK36" s="115"/>
      <c r="AL36" s="115"/>
      <c r="AM36" s="115"/>
      <c r="AN36" s="115"/>
      <c r="AO36" s="115"/>
      <c r="AP36" s="115"/>
      <c r="AQ36" s="115"/>
      <c r="AR36" s="115"/>
      <c r="AS36" s="115"/>
      <c r="AT36" s="115"/>
    </row>
    <row r="37" spans="11:76" ht="15" customHeight="1" x14ac:dyDescent="0.25">
      <c r="K37" s="73" t="str">
        <f>'Cost Allocation'!C27</f>
        <v>CAC Scenario A</v>
      </c>
      <c r="L37" s="20">
        <f>'Cost Allocation'!D27</f>
        <v>-922590.92028320953</v>
      </c>
      <c r="M37" s="20">
        <f>'Cost Allocation'!E27</f>
        <v>-263766.00109261274</v>
      </c>
      <c r="N37" s="20">
        <f>'Cost Allocation'!F27</f>
        <v>-538304.3056371212</v>
      </c>
      <c r="O37" s="20">
        <f>'Cost Allocation'!G27</f>
        <v>79959.62255824171</v>
      </c>
      <c r="P37" s="9"/>
      <c r="Q37" s="9"/>
      <c r="R37" s="9"/>
      <c r="S37" s="9"/>
      <c r="T37" s="9"/>
      <c r="U37" s="9"/>
      <c r="AG37" s="115"/>
      <c r="AH37" s="115"/>
      <c r="AI37" s="115"/>
      <c r="AJ37" s="115"/>
      <c r="AK37" s="115"/>
      <c r="AL37" s="115"/>
      <c r="AM37" s="115"/>
      <c r="AN37" s="115"/>
      <c r="AO37" s="115"/>
      <c r="AP37" s="115"/>
      <c r="AQ37" s="115"/>
      <c r="AR37" s="115"/>
      <c r="AS37" s="115"/>
      <c r="AT37" s="115"/>
    </row>
    <row r="38" spans="11:76" x14ac:dyDescent="0.25">
      <c r="K38" s="73" t="str">
        <f>'Cost Allocation'!C28</f>
        <v>CAC Scenario B</v>
      </c>
      <c r="L38" s="20">
        <f>'Cost Allocation'!D28</f>
        <v>-635839.05382926762</v>
      </c>
      <c r="M38" s="20">
        <f>'Cost Allocation'!E28</f>
        <v>-218288.50365309417</v>
      </c>
      <c r="N38" s="20">
        <f>'Cost Allocation'!F28</f>
        <v>-419038.98202031106</v>
      </c>
      <c r="O38" s="20">
        <f>'Cost Allocation'!G28</f>
        <v>79959.300169384107</v>
      </c>
      <c r="P38" s="9"/>
      <c r="Q38" s="9"/>
      <c r="R38" s="9"/>
      <c r="S38" s="9"/>
      <c r="T38" s="9"/>
      <c r="U38" s="9"/>
      <c r="AG38" s="404"/>
      <c r="AH38" s="404"/>
      <c r="AI38" s="404"/>
      <c r="AJ38" s="404"/>
      <c r="AK38" s="404"/>
      <c r="AL38" s="404"/>
      <c r="AM38" s="404"/>
      <c r="AN38" s="404"/>
      <c r="AO38" s="404"/>
      <c r="AP38" s="404"/>
      <c r="AQ38" s="404"/>
      <c r="AR38" s="404"/>
      <c r="AS38" s="404"/>
      <c r="AT38" s="404"/>
      <c r="BT38" s="93"/>
      <c r="BU38" s="486"/>
      <c r="BV38" s="98"/>
      <c r="BW38" s="98"/>
      <c r="BX38" s="98"/>
    </row>
    <row r="39" spans="11:76" ht="30" x14ac:dyDescent="0.25">
      <c r="K39" s="73" t="str">
        <f>'Cost Allocation'!C29</f>
        <v>CAC Scenario C</v>
      </c>
      <c r="L39" s="20">
        <f>'Cost Allocation'!D29</f>
        <v>-398957.79228290543</v>
      </c>
      <c r="M39" s="20">
        <f>'Cost Allocation'!E29</f>
        <v>-163716.40838254616</v>
      </c>
      <c r="N39" s="20">
        <f>'Cost Allocation'!F29</f>
        <v>-307395.18411602825</v>
      </c>
      <c r="O39" s="20">
        <f>'Cost Allocation'!G29</f>
        <v>53306.313472522423</v>
      </c>
      <c r="P39" s="9"/>
      <c r="Q39" s="9"/>
      <c r="R39" s="9"/>
      <c r="S39" s="9"/>
      <c r="T39" s="9"/>
      <c r="U39" s="9"/>
      <c r="AG39" s="404"/>
      <c r="AH39" s="404"/>
      <c r="AI39" s="404"/>
      <c r="AJ39" s="404"/>
      <c r="AK39" s="404"/>
      <c r="AL39" s="404"/>
      <c r="AM39" s="404"/>
      <c r="AN39" s="404"/>
      <c r="AO39" s="404"/>
      <c r="AP39" s="404"/>
      <c r="AQ39" s="404"/>
      <c r="AR39" s="404"/>
      <c r="AS39" s="404"/>
      <c r="AT39" s="404"/>
      <c r="BS39" s="396"/>
      <c r="BT39" s="422"/>
      <c r="BU39" s="484" t="str">
        <f>Planning!$D$40</f>
        <v>Q6 Incremental PAC BAA LSEs Load</v>
      </c>
      <c r="BV39" s="468"/>
      <c r="BW39" s="468"/>
      <c r="BX39" s="469"/>
    </row>
    <row r="40" spans="11:76" x14ac:dyDescent="0.25">
      <c r="K40" s="73" t="str">
        <f>'Cost Allocation'!C30</f>
        <v>CAC Scenario D</v>
      </c>
      <c r="L40" s="20">
        <f>'Cost Allocation'!D30</f>
        <v>-62337.163094229996</v>
      </c>
      <c r="M40" s="20">
        <f>'Cost Allocation'!E30</f>
        <v>27285.97480429709</v>
      </c>
      <c r="N40" s="20">
        <f>'Cost Allocation'!F30</f>
        <v>-92213.112222775817</v>
      </c>
      <c r="O40" s="20">
        <f>'Cost Allocation'!G30</f>
        <v>-2.2647641599178314E-3</v>
      </c>
      <c r="P40" s="9"/>
      <c r="Q40" s="9"/>
      <c r="R40" s="9"/>
      <c r="S40" s="9"/>
      <c r="T40" s="9"/>
      <c r="U40" s="9"/>
      <c r="AG40" s="404"/>
      <c r="AH40" s="404"/>
      <c r="AI40" s="404"/>
      <c r="AJ40" s="404"/>
      <c r="AK40" s="404"/>
      <c r="AL40" s="404"/>
      <c r="AM40" s="404"/>
      <c r="AN40" s="404"/>
      <c r="AO40" s="404"/>
      <c r="AP40" s="404"/>
      <c r="AQ40" s="404"/>
      <c r="AR40" s="404"/>
      <c r="AS40" s="404"/>
      <c r="AT40" s="404"/>
      <c r="BS40" s="459" t="str">
        <f>Planning!$B$55</f>
        <v>DFRTP</v>
      </c>
      <c r="BT40" s="460" t="str">
        <f>Planning!$C$55</f>
        <v>MW</v>
      </c>
      <c r="BU40" s="461">
        <f>Planning!D41</f>
        <v>1800</v>
      </c>
      <c r="BV40" s="483"/>
      <c r="BW40" s="483"/>
      <c r="BX40" s="483"/>
    </row>
    <row r="41" spans="11:76" x14ac:dyDescent="0.25">
      <c r="K41" s="93"/>
      <c r="L41" s="23"/>
      <c r="M41" s="23"/>
      <c r="N41" s="23"/>
      <c r="O41" s="23"/>
      <c r="P41" s="9"/>
      <c r="Q41" s="9"/>
      <c r="R41" s="9"/>
      <c r="S41" s="9"/>
      <c r="T41" s="9"/>
      <c r="U41" s="9"/>
      <c r="AG41" s="404"/>
      <c r="AH41" s="404"/>
      <c r="AI41" s="404"/>
      <c r="AJ41" s="404"/>
      <c r="AK41" s="404"/>
      <c r="AL41" s="404"/>
      <c r="AM41" s="404"/>
      <c r="AN41" s="404"/>
      <c r="AO41" s="404"/>
      <c r="AP41" s="404"/>
      <c r="AQ41" s="404"/>
      <c r="AR41" s="404"/>
      <c r="AS41" s="404"/>
      <c r="AT41" s="404"/>
      <c r="BS41" s="462"/>
      <c r="BT41" s="460" t="str">
        <f>Planning!$C$56</f>
        <v>Percent</v>
      </c>
      <c r="BU41" s="485">
        <f>Planning!D42</f>
        <v>1</v>
      </c>
      <c r="BV41" s="483"/>
      <c r="BW41" s="483"/>
      <c r="BX41" s="483"/>
    </row>
    <row r="42" spans="11:76" x14ac:dyDescent="0.25">
      <c r="K42" s="9"/>
      <c r="L42" s="9"/>
      <c r="M42" s="9"/>
      <c r="N42" s="9"/>
      <c r="O42" s="9"/>
      <c r="P42" s="9"/>
      <c r="Q42" s="9"/>
      <c r="R42" s="9"/>
      <c r="S42" s="9"/>
      <c r="T42" s="9"/>
      <c r="U42" s="9"/>
      <c r="AG42" s="115"/>
      <c r="AH42" s="115"/>
      <c r="AI42" s="115"/>
      <c r="AJ42" s="115"/>
      <c r="AK42" s="115"/>
      <c r="AL42" s="115"/>
      <c r="AM42" s="115"/>
      <c r="AN42" s="115"/>
      <c r="AO42" s="115"/>
      <c r="AP42" s="115"/>
      <c r="AQ42" s="115"/>
      <c r="AR42" s="115"/>
      <c r="AS42" s="115"/>
      <c r="AT42" s="115"/>
      <c r="BS42" s="462"/>
      <c r="BT42" s="463" t="str">
        <f>Planning!$C$57</f>
        <v>Benefit</v>
      </c>
      <c r="BU42" s="481">
        <f>Planning!D43</f>
        <v>963621405.6478405</v>
      </c>
      <c r="BV42" s="483"/>
      <c r="BW42" s="483"/>
      <c r="BX42" s="483"/>
    </row>
    <row r="43" spans="11:76" x14ac:dyDescent="0.25">
      <c r="K43" s="9"/>
      <c r="L43" s="9"/>
      <c r="M43" s="9"/>
      <c r="N43" s="9"/>
      <c r="O43" s="9"/>
      <c r="P43" s="9"/>
      <c r="Q43" s="9"/>
      <c r="R43" s="9"/>
      <c r="S43" s="9"/>
      <c r="T43" s="9"/>
      <c r="U43" s="9"/>
      <c r="AC43" s="115"/>
      <c r="AG43" s="115"/>
      <c r="AH43" s="115"/>
      <c r="AI43" s="115"/>
      <c r="AJ43" s="115"/>
      <c r="AK43" s="115"/>
      <c r="AL43" s="115"/>
      <c r="AM43" s="115"/>
      <c r="AN43" s="115"/>
      <c r="AO43" s="115"/>
      <c r="AP43" s="115"/>
      <c r="AQ43" s="115"/>
      <c r="AR43" s="115"/>
      <c r="AS43" s="115"/>
      <c r="AT43" s="115"/>
      <c r="BS43" s="464" t="str">
        <f>Planning!$B$58</f>
        <v>CAC Scenario A</v>
      </c>
      <c r="BT43" s="460" t="str">
        <f>Planning!C44</f>
        <v>MW</v>
      </c>
      <c r="BU43" s="461">
        <f>Planning!D44</f>
        <v>2187.5</v>
      </c>
      <c r="BV43" s="305"/>
      <c r="BW43" s="305"/>
      <c r="BX43" s="98"/>
    </row>
    <row r="44" spans="11:76" x14ac:dyDescent="0.25">
      <c r="K44" s="9"/>
      <c r="L44" s="9"/>
      <c r="M44" s="9"/>
      <c r="N44" s="9"/>
      <c r="O44" s="9"/>
      <c r="P44" s="9"/>
      <c r="Q44" s="9"/>
      <c r="R44" s="9"/>
      <c r="S44" s="9"/>
      <c r="T44" s="9"/>
      <c r="U44" s="9"/>
      <c r="AC44" s="115"/>
      <c r="AG44" s="115"/>
      <c r="AH44" s="115"/>
      <c r="AI44" s="115"/>
      <c r="AJ44" s="115"/>
      <c r="AK44" s="115"/>
      <c r="AL44" s="115"/>
      <c r="AM44" s="115"/>
      <c r="AN44" s="115"/>
      <c r="AO44" s="115"/>
      <c r="AP44" s="115"/>
      <c r="AQ44" s="115"/>
      <c r="AR44" s="115"/>
      <c r="AS44" s="115"/>
      <c r="AT44" s="115"/>
      <c r="BS44" s="572" t="str">
        <f>"Change DFRTP MW by "&amp;Planning!$B$46&amp;"MW"</f>
        <v>Change DFRTP MW by 387.5MW</v>
      </c>
      <c r="BT44" s="460" t="str">
        <f>Planning!C45</f>
        <v>Percent</v>
      </c>
      <c r="BU44" s="485">
        <f>Planning!D45</f>
        <v>1</v>
      </c>
      <c r="BV44" s="305"/>
      <c r="BW44" s="305"/>
      <c r="BX44" s="98"/>
    </row>
    <row r="45" spans="11:76" x14ac:dyDescent="0.25">
      <c r="K45" s="9"/>
      <c r="L45" s="9"/>
      <c r="M45" s="9"/>
      <c r="N45" s="9"/>
      <c r="O45" s="9"/>
      <c r="P45" s="9"/>
      <c r="Q45" s="9"/>
      <c r="R45" s="9"/>
      <c r="S45" s="9"/>
      <c r="T45" s="9"/>
      <c r="U45" s="9"/>
      <c r="AG45" s="115"/>
      <c r="AH45" s="115"/>
      <c r="AI45" s="115"/>
      <c r="AJ45" s="115"/>
      <c r="AK45" s="115"/>
      <c r="AL45" s="115"/>
      <c r="AM45" s="115"/>
      <c r="AN45" s="115"/>
      <c r="AO45" s="115"/>
      <c r="AP45" s="115"/>
      <c r="AQ45" s="115"/>
      <c r="AR45" s="115"/>
      <c r="AS45" s="115"/>
      <c r="AT45" s="405"/>
      <c r="BS45" s="573"/>
      <c r="BT45" s="460" t="str">
        <f>Planning!C46</f>
        <v>Benefit</v>
      </c>
      <c r="BU45" s="481">
        <f>Planning!D46</f>
        <v>963621405.6478405</v>
      </c>
      <c r="BV45" s="483"/>
      <c r="BW45" s="483"/>
      <c r="BX45" s="483"/>
    </row>
    <row r="46" spans="11:76" x14ac:dyDescent="0.25">
      <c r="K46" s="9"/>
      <c r="L46" s="9"/>
      <c r="M46" s="9"/>
      <c r="N46" s="9"/>
      <c r="O46" s="9"/>
      <c r="P46" s="9"/>
      <c r="Q46" s="9"/>
      <c r="R46" s="9"/>
      <c r="S46" s="9"/>
      <c r="T46" s="9"/>
      <c r="U46" s="9"/>
      <c r="AG46" s="115"/>
      <c r="AH46" s="115"/>
      <c r="AI46" s="115"/>
      <c r="AJ46" s="115"/>
      <c r="AK46" s="115"/>
      <c r="AL46" s="115"/>
      <c r="AM46" s="115"/>
      <c r="AN46" s="115"/>
      <c r="AO46" s="115"/>
      <c r="AP46" s="115"/>
      <c r="AQ46" s="115"/>
      <c r="AR46" s="115"/>
      <c r="AS46" s="115"/>
      <c r="AT46" s="405"/>
      <c r="BS46" s="459" t="str">
        <f>Planning!$B$59</f>
        <v>CAC Scenario B</v>
      </c>
      <c r="BT46" s="460" t="str">
        <f>Planning!C47</f>
        <v>MW</v>
      </c>
      <c r="BU46" s="461">
        <f>Planning!D47</f>
        <v>1412.5</v>
      </c>
      <c r="BV46" s="305"/>
      <c r="BW46" s="305"/>
      <c r="BX46" s="98"/>
    </row>
    <row r="47" spans="11:76" x14ac:dyDescent="0.25">
      <c r="K47" s="9"/>
      <c r="L47" s="9"/>
      <c r="M47" s="9"/>
      <c r="N47" s="9"/>
      <c r="O47" s="9"/>
      <c r="P47" s="9"/>
      <c r="Q47" s="9"/>
      <c r="R47" s="9"/>
      <c r="S47" s="9"/>
      <c r="T47" s="9"/>
      <c r="U47" s="9"/>
      <c r="AG47" s="115"/>
      <c r="AH47" s="115"/>
      <c r="AI47" s="115"/>
      <c r="AJ47" s="115"/>
      <c r="AK47" s="115"/>
      <c r="AL47" s="115"/>
      <c r="AM47" s="115"/>
      <c r="AN47" s="115"/>
      <c r="AO47" s="115"/>
      <c r="AP47" s="115"/>
      <c r="AQ47" s="115"/>
      <c r="AR47" s="115"/>
      <c r="AS47" s="115"/>
      <c r="AT47" s="405"/>
      <c r="BS47" s="572" t="str">
        <f>"Change DFRTP MW by "&amp;Planning!$B$49&amp;"MW"</f>
        <v>Change DFRTP MW by -387.5MW</v>
      </c>
      <c r="BT47" s="460" t="str">
        <f>Planning!C48</f>
        <v>Percent</v>
      </c>
      <c r="BU47" s="485">
        <f>Planning!D48</f>
        <v>1</v>
      </c>
      <c r="BV47" s="483"/>
      <c r="BW47" s="483"/>
      <c r="BX47" s="483"/>
    </row>
    <row r="48" spans="11:76" x14ac:dyDescent="0.25">
      <c r="K48" s="9"/>
      <c r="L48" s="9"/>
      <c r="M48" s="9"/>
      <c r="N48" s="9"/>
      <c r="O48" s="9"/>
      <c r="P48" s="9"/>
      <c r="Q48" s="9"/>
      <c r="R48" s="9"/>
      <c r="S48" s="9"/>
      <c r="T48" s="9"/>
      <c r="U48" s="9"/>
      <c r="AG48" s="115"/>
      <c r="AH48" s="115"/>
      <c r="AI48" s="115"/>
      <c r="AJ48" s="115"/>
      <c r="AK48" s="115"/>
      <c r="AL48" s="115"/>
      <c r="AM48" s="115"/>
      <c r="AN48" s="115"/>
      <c r="AO48" s="115"/>
      <c r="AP48" s="115"/>
      <c r="AQ48" s="115"/>
      <c r="AR48" s="115"/>
      <c r="AS48" s="115"/>
      <c r="AT48" s="405"/>
      <c r="BS48" s="573"/>
      <c r="BT48" s="460" t="str">
        <f>Planning!C49</f>
        <v>Benefit</v>
      </c>
      <c r="BU48" s="481">
        <f>Planning!D49</f>
        <v>963621405.6478405</v>
      </c>
      <c r="BV48" s="483"/>
      <c r="BW48" s="483"/>
      <c r="BX48" s="483"/>
    </row>
    <row r="49" spans="29:83" x14ac:dyDescent="0.25">
      <c r="AG49" s="115"/>
      <c r="AH49" s="115"/>
      <c r="AI49" s="115"/>
      <c r="AJ49" s="115"/>
      <c r="AK49" s="115"/>
      <c r="AL49" s="115"/>
      <c r="AM49" s="115"/>
      <c r="AN49" s="115"/>
      <c r="AO49" s="115"/>
      <c r="AP49" s="115"/>
      <c r="AQ49" s="115"/>
      <c r="AR49" s="115"/>
      <c r="AS49" s="115"/>
      <c r="AT49" s="405"/>
      <c r="BS49" s="465" t="str">
        <f>Planning!$B$60</f>
        <v>CAC Scenario C</v>
      </c>
      <c r="BT49" s="460" t="str">
        <f>Planning!C50</f>
        <v>Benefit</v>
      </c>
      <c r="BU49" s="481">
        <f>Planning!D50</f>
        <v>963621405.6478405</v>
      </c>
      <c r="BV49" s="483"/>
      <c r="BW49" s="483"/>
      <c r="BX49" s="483"/>
    </row>
    <row r="50" spans="29:83" x14ac:dyDescent="0.25">
      <c r="AG50" s="115"/>
      <c r="AH50" s="115"/>
      <c r="AI50" s="115"/>
      <c r="AJ50" s="115"/>
      <c r="AK50" s="115"/>
      <c r="AL50" s="115"/>
      <c r="AM50" s="115"/>
      <c r="AN50" s="115"/>
      <c r="AO50" s="115"/>
      <c r="AP50" s="115"/>
      <c r="AQ50" s="115"/>
      <c r="AR50" s="115"/>
      <c r="AS50" s="115"/>
      <c r="AT50" s="405"/>
      <c r="BS50" s="487" t="str">
        <f>Planning!$B$63</f>
        <v>CAC Scenario D</v>
      </c>
      <c r="BT50" s="460" t="str">
        <f>Planning!C51</f>
        <v>Benefit</v>
      </c>
      <c r="BU50" s="481">
        <f>Planning!D51</f>
        <v>963621405.6478405</v>
      </c>
      <c r="BV50" s="483"/>
      <c r="BW50" s="483"/>
      <c r="BX50" s="483"/>
    </row>
    <row r="51" spans="29:83" x14ac:dyDescent="0.25">
      <c r="AG51" s="115"/>
      <c r="AH51" s="115"/>
      <c r="AI51" s="115"/>
      <c r="AJ51" s="115"/>
      <c r="AK51" s="115"/>
      <c r="AL51" s="115"/>
      <c r="AM51" s="115"/>
      <c r="AN51" s="115"/>
      <c r="AO51" s="115"/>
      <c r="AP51" s="115"/>
      <c r="AQ51" s="115"/>
      <c r="AR51" s="115"/>
      <c r="AS51" s="115"/>
      <c r="AT51" s="405"/>
      <c r="BS51" s="488"/>
      <c r="BT51" s="489"/>
      <c r="BU51" s="483"/>
      <c r="BV51" s="483"/>
      <c r="BW51" s="483"/>
      <c r="BX51" s="483"/>
    </row>
    <row r="52" spans="29:83" x14ac:dyDescent="0.25">
      <c r="AG52" s="115"/>
      <c r="AH52" s="115"/>
      <c r="AI52" s="115"/>
      <c r="AJ52" s="115"/>
      <c r="AK52" s="115"/>
      <c r="AL52" s="115"/>
      <c r="AM52" s="115"/>
      <c r="AN52" s="115"/>
      <c r="AO52" s="115"/>
      <c r="AP52" s="115"/>
      <c r="AQ52" s="115"/>
      <c r="AR52" s="115"/>
      <c r="AS52" s="115"/>
      <c r="AT52" s="405"/>
    </row>
    <row r="53" spans="29:83" x14ac:dyDescent="0.25">
      <c r="AC53" s="114"/>
      <c r="AG53" s="406"/>
      <c r="AH53" s="406"/>
      <c r="AI53" s="406"/>
      <c r="AJ53" s="406"/>
      <c r="AK53" s="406"/>
      <c r="AL53" s="406"/>
      <c r="AM53" s="406"/>
      <c r="AN53" s="406"/>
      <c r="AO53" s="406"/>
      <c r="AP53" s="406"/>
      <c r="AQ53" s="406"/>
      <c r="AR53" s="406"/>
      <c r="AS53" s="407"/>
      <c r="AT53" s="115"/>
      <c r="BS53" s="143"/>
    </row>
    <row r="54" spans="29:83" x14ac:dyDescent="0.25">
      <c r="AC54" s="114"/>
      <c r="AF54" s="113"/>
      <c r="AG54" s="408"/>
      <c r="AH54" s="408"/>
      <c r="AI54" s="408"/>
      <c r="AJ54" s="408"/>
      <c r="AK54" s="408"/>
      <c r="AL54" s="408"/>
      <c r="AM54" s="408"/>
      <c r="AN54" s="408"/>
      <c r="AO54" s="408"/>
      <c r="AP54" s="408"/>
      <c r="AQ54" s="408"/>
      <c r="AR54" s="408"/>
      <c r="AS54" s="407"/>
      <c r="AT54" s="115"/>
    </row>
    <row r="55" spans="29:83" x14ac:dyDescent="0.25">
      <c r="AF55" s="113"/>
      <c r="AG55" s="408"/>
      <c r="AH55" s="408"/>
      <c r="AI55" s="408"/>
      <c r="AJ55" s="408"/>
      <c r="AK55" s="408"/>
      <c r="AL55" s="408"/>
      <c r="AM55" s="408"/>
      <c r="AN55" s="408"/>
      <c r="AO55" s="408"/>
      <c r="AP55" s="408"/>
      <c r="AQ55" s="408"/>
      <c r="AR55" s="408"/>
      <c r="AS55" s="407"/>
      <c r="AT55" s="115"/>
      <c r="BU55" s="332"/>
    </row>
    <row r="56" spans="29:83" x14ac:dyDescent="0.25">
      <c r="AF56" s="113"/>
      <c r="AG56" s="408"/>
      <c r="AH56" s="408"/>
      <c r="AI56" s="408"/>
      <c r="AJ56" s="408"/>
      <c r="AK56" s="408"/>
      <c r="AL56" s="408"/>
      <c r="AM56" s="408"/>
      <c r="AN56" s="408"/>
      <c r="AO56" s="408"/>
      <c r="AP56" s="408"/>
      <c r="AQ56" s="408"/>
      <c r="AR56" s="408"/>
      <c r="AS56" s="407"/>
      <c r="AT56" s="115"/>
      <c r="BU56" s="468"/>
      <c r="CB56" s="93"/>
      <c r="CC56" s="569"/>
      <c r="CD56" s="569"/>
      <c r="CE56" s="569"/>
    </row>
    <row r="57" spans="29:83" ht="45" x14ac:dyDescent="0.25">
      <c r="AD57" s="114"/>
      <c r="AE57" s="28"/>
      <c r="AG57" s="408"/>
      <c r="AH57" s="408"/>
      <c r="AI57" s="408"/>
      <c r="AJ57" s="408"/>
      <c r="AK57" s="408"/>
      <c r="AL57" s="408"/>
      <c r="AM57" s="408"/>
      <c r="AN57" s="408"/>
      <c r="AO57" s="408"/>
      <c r="AP57" s="408"/>
      <c r="AQ57" s="408"/>
      <c r="AR57" s="408"/>
      <c r="AS57" s="407"/>
      <c r="AT57" s="115"/>
      <c r="BU57" s="468"/>
      <c r="CA57" s="396"/>
      <c r="CB57" s="422"/>
      <c r="CC57" s="423" t="str">
        <f>Planning!D54</f>
        <v>Q6 WY Wind (New)</v>
      </c>
      <c r="CD57" s="423" t="str">
        <f>Planning!E54</f>
        <v>Q6 Incremental WY Gen (Existing)</v>
      </c>
      <c r="CE57" s="423" t="str">
        <f>Planning!I54</f>
        <v>Total</v>
      </c>
    </row>
    <row r="58" spans="29:83" x14ac:dyDescent="0.25">
      <c r="AC58" s="6"/>
      <c r="AD58" s="170"/>
      <c r="AE58" s="162"/>
      <c r="AF58" s="170"/>
      <c r="AG58" s="408"/>
      <c r="AH58" s="408"/>
      <c r="AI58" s="408"/>
      <c r="AJ58" s="408"/>
      <c r="AK58" s="408"/>
      <c r="AL58" s="408"/>
      <c r="AM58" s="408"/>
      <c r="AN58" s="408"/>
      <c r="AO58" s="408"/>
      <c r="AP58" s="408"/>
      <c r="AQ58" s="408"/>
      <c r="AR58" s="408"/>
      <c r="AS58" s="407"/>
      <c r="AT58" s="115"/>
      <c r="BU58" s="469"/>
      <c r="CA58" s="165" t="str">
        <f>Planning!B55</f>
        <v>DFRTP</v>
      </c>
      <c r="CB58" s="73" t="str">
        <f>Planning!C55</f>
        <v>MW</v>
      </c>
      <c r="CC58" s="471">
        <f>Planning!D55</f>
        <v>712</v>
      </c>
      <c r="CD58" s="471">
        <f>Planning!E55</f>
        <v>1100</v>
      </c>
      <c r="CE58" s="471">
        <f>Planning!I55</f>
        <v>1812</v>
      </c>
    </row>
    <row r="59" spans="29:83" x14ac:dyDescent="0.25">
      <c r="AC59" s="6"/>
      <c r="AE59" s="162"/>
      <c r="AF59" s="170"/>
      <c r="AG59" s="408"/>
      <c r="AH59" s="408"/>
      <c r="AI59" s="408"/>
      <c r="AJ59" s="408"/>
      <c r="AK59" s="408"/>
      <c r="AL59" s="408"/>
      <c r="AM59" s="408"/>
      <c r="AN59" s="408"/>
      <c r="AO59" s="408"/>
      <c r="AP59" s="408"/>
      <c r="AQ59" s="408"/>
      <c r="AR59" s="408"/>
      <c r="AS59" s="407"/>
      <c r="AT59" s="115"/>
      <c r="CA59" s="95"/>
      <c r="CB59" s="73" t="str">
        <f>Planning!C56</f>
        <v>Percent</v>
      </c>
      <c r="CC59" s="482">
        <f>Planning!D56</f>
        <v>0.39293598233995586</v>
      </c>
      <c r="CD59" s="482">
        <f>Planning!E56</f>
        <v>0.60706401766004414</v>
      </c>
      <c r="CE59" s="482">
        <f>Planning!I56</f>
        <v>1</v>
      </c>
    </row>
    <row r="60" spans="29:83" x14ac:dyDescent="0.25">
      <c r="AC60" s="114"/>
      <c r="AF60" s="113"/>
      <c r="AG60" s="408"/>
      <c r="AH60" s="408"/>
      <c r="AI60" s="408"/>
      <c r="AJ60" s="408"/>
      <c r="AK60" s="408"/>
      <c r="AL60" s="408"/>
      <c r="AM60" s="408"/>
      <c r="AN60" s="408"/>
      <c r="AO60" s="408"/>
      <c r="AP60" s="408"/>
      <c r="AQ60" s="408"/>
      <c r="AR60" s="408"/>
      <c r="AS60" s="407"/>
      <c r="AT60" s="115"/>
      <c r="CA60" s="229"/>
      <c r="CB60" s="239" t="str">
        <f>Planning!C57</f>
        <v>Benefit</v>
      </c>
      <c r="CC60" s="481">
        <f>Planning!D57</f>
        <v>381165800.45625693</v>
      </c>
      <c r="CD60" s="481">
        <f>Planning!E57</f>
        <v>588879747.89590251</v>
      </c>
      <c r="CE60" s="481">
        <f>Planning!I57</f>
        <v>970045548.3521595</v>
      </c>
    </row>
    <row r="61" spans="29:83" x14ac:dyDescent="0.25">
      <c r="AC61" s="114"/>
      <c r="AF61" s="113"/>
      <c r="AG61" s="408"/>
      <c r="AH61" s="408"/>
      <c r="AI61" s="408"/>
      <c r="AJ61" s="408"/>
      <c r="AK61" s="408"/>
      <c r="AL61" s="408"/>
      <c r="AM61" s="408"/>
      <c r="AN61" s="408"/>
      <c r="AO61" s="408"/>
      <c r="AP61" s="408"/>
      <c r="AQ61" s="408"/>
      <c r="AR61" s="408"/>
      <c r="AS61" s="407"/>
      <c r="AT61" s="115"/>
      <c r="CA61" s="477" t="str">
        <f>Planning!B58</f>
        <v>CAC Scenario A</v>
      </c>
      <c r="CB61" s="239" t="str">
        <f>Planning!C58</f>
        <v>Benefit</v>
      </c>
      <c r="CC61" s="481">
        <f>Planning!D58</f>
        <v>381165800.45625693</v>
      </c>
      <c r="CD61" s="481">
        <f>Planning!E58</f>
        <v>588879747.89590251</v>
      </c>
      <c r="CE61" s="481">
        <f>Planning!I58</f>
        <v>970045548.3521595</v>
      </c>
    </row>
    <row r="62" spans="29:83" x14ac:dyDescent="0.25">
      <c r="AG62" s="115"/>
      <c r="AH62" s="115"/>
      <c r="AI62" s="115"/>
      <c r="AJ62" s="115"/>
      <c r="AK62" s="115"/>
      <c r="AL62" s="115"/>
      <c r="AM62" s="115"/>
      <c r="AN62" s="115"/>
      <c r="AO62" s="115"/>
      <c r="AP62" s="115"/>
      <c r="AQ62" s="115"/>
      <c r="AR62" s="115"/>
      <c r="AS62" s="409"/>
      <c r="AT62" s="115"/>
      <c r="CA62" s="478" t="str">
        <f>Planning!B59</f>
        <v>CAC Scenario B</v>
      </c>
      <c r="CB62" s="239" t="str">
        <f>Planning!C59</f>
        <v>Benefit</v>
      </c>
      <c r="CC62" s="481">
        <f>Planning!D59</f>
        <v>381165800.45625693</v>
      </c>
      <c r="CD62" s="481">
        <f>Planning!E59</f>
        <v>588879747.89590251</v>
      </c>
      <c r="CE62" s="481">
        <f>Planning!I59</f>
        <v>970045548.3521595</v>
      </c>
    </row>
    <row r="63" spans="29:83" x14ac:dyDescent="0.25">
      <c r="AG63" s="115"/>
      <c r="AH63" s="115"/>
      <c r="AI63" s="115"/>
      <c r="AJ63" s="115"/>
      <c r="AK63" s="115"/>
      <c r="AL63" s="115"/>
      <c r="AM63" s="115"/>
      <c r="AN63" s="115"/>
      <c r="AO63" s="115"/>
      <c r="AP63" s="115"/>
      <c r="AQ63" s="115"/>
      <c r="AR63" s="115"/>
      <c r="AS63" s="409"/>
      <c r="AT63" s="115"/>
      <c r="CA63" s="166" t="str">
        <f>Planning!B60</f>
        <v>CAC Scenario C</v>
      </c>
      <c r="CB63" s="73" t="str">
        <f>Planning!C60</f>
        <v>MW</v>
      </c>
      <c r="CC63" s="471">
        <f>Planning!D60</f>
        <v>399</v>
      </c>
      <c r="CD63" s="471">
        <f>Planning!E60</f>
        <v>1100</v>
      </c>
      <c r="CE63" s="471">
        <f>Planning!I60</f>
        <v>1499</v>
      </c>
    </row>
    <row r="64" spans="29:83" x14ac:dyDescent="0.25">
      <c r="AG64" s="115"/>
      <c r="AH64" s="115"/>
      <c r="AI64" s="115"/>
      <c r="AJ64" s="115"/>
      <c r="AK64" s="115"/>
      <c r="AL64" s="115"/>
      <c r="AM64" s="115"/>
      <c r="AN64" s="115"/>
      <c r="AO64" s="115"/>
      <c r="AP64" s="115"/>
      <c r="AQ64" s="115"/>
      <c r="AR64" s="115"/>
      <c r="AS64" s="409"/>
      <c r="AT64" s="115"/>
      <c r="CA64" s="570" t="s">
        <v>154</v>
      </c>
      <c r="CB64" s="73" t="str">
        <f>Planning!C61</f>
        <v>Percent</v>
      </c>
      <c r="CC64" s="474">
        <f>Planning!D61</f>
        <v>0.26617745163442297</v>
      </c>
      <c r="CD64" s="474">
        <f>Planning!E61</f>
        <v>0.73382254836557703</v>
      </c>
      <c r="CE64" s="474">
        <f>SUM(CC64:CD64)</f>
        <v>1</v>
      </c>
    </row>
    <row r="65" spans="33:83" x14ac:dyDescent="0.25">
      <c r="AG65" s="115"/>
      <c r="AH65" s="115"/>
      <c r="AI65" s="115"/>
      <c r="AJ65" s="115"/>
      <c r="AK65" s="115"/>
      <c r="AL65" s="115"/>
      <c r="AM65" s="115"/>
      <c r="AN65" s="115"/>
      <c r="AO65" s="115"/>
      <c r="AP65" s="115"/>
      <c r="AQ65" s="115"/>
      <c r="AR65" s="115"/>
      <c r="AS65" s="409"/>
      <c r="AT65" s="115"/>
      <c r="CA65" s="571"/>
      <c r="CB65" s="437" t="str">
        <f>Planning!C62</f>
        <v>Benefit</v>
      </c>
      <c r="CC65" s="481">
        <f>Planning!D62</f>
        <v>258204252.02969423</v>
      </c>
      <c r="CD65" s="481">
        <f>Planning!E62</f>
        <v>711841296.3224653</v>
      </c>
      <c r="CE65" s="481">
        <f>Planning!I62</f>
        <v>970045548.3521595</v>
      </c>
    </row>
    <row r="66" spans="33:83" x14ac:dyDescent="0.25">
      <c r="AG66" s="115"/>
      <c r="AH66" s="115"/>
      <c r="AI66" s="115"/>
      <c r="AJ66" s="115"/>
      <c r="AK66" s="115"/>
      <c r="AL66" s="115"/>
      <c r="AM66" s="115"/>
      <c r="AN66" s="115"/>
      <c r="AO66" s="115"/>
      <c r="AP66" s="115"/>
      <c r="AQ66" s="115"/>
      <c r="AR66" s="115"/>
      <c r="AS66" s="409"/>
      <c r="AT66" s="115"/>
      <c r="CA66" s="479" t="str">
        <f>Planning!B63</f>
        <v>CAC Scenario D</v>
      </c>
      <c r="CB66" s="73" t="str">
        <f>Planning!C63</f>
        <v>MW</v>
      </c>
      <c r="CC66" s="471">
        <f>Planning!D63</f>
        <v>1197</v>
      </c>
      <c r="CD66" s="471">
        <f>Planning!E63</f>
        <v>1100</v>
      </c>
      <c r="CE66" s="471">
        <f>Planning!I63</f>
        <v>2297</v>
      </c>
    </row>
    <row r="67" spans="33:83" x14ac:dyDescent="0.25">
      <c r="AG67" s="115"/>
      <c r="AH67" s="115"/>
      <c r="AI67" s="115"/>
      <c r="AJ67" s="115"/>
      <c r="AK67" s="115"/>
      <c r="AL67" s="115"/>
      <c r="AM67" s="115"/>
      <c r="AN67" s="115"/>
      <c r="AO67" s="115"/>
      <c r="AP67" s="115"/>
      <c r="AQ67" s="115"/>
      <c r="AR67" s="115"/>
      <c r="AS67" s="409"/>
      <c r="AT67" s="115"/>
      <c r="CA67" s="570" t="s">
        <v>155</v>
      </c>
      <c r="CB67" s="73" t="str">
        <f>Planning!C64</f>
        <v>Percent</v>
      </c>
      <c r="CC67" s="474">
        <f>Planning!D64</f>
        <v>0.52111449717022207</v>
      </c>
      <c r="CD67" s="474">
        <f>Planning!E64</f>
        <v>0.47888550282977799</v>
      </c>
      <c r="CE67" s="474">
        <f>SUM(CC67:CD67)</f>
        <v>1</v>
      </c>
    </row>
    <row r="68" spans="33:83" x14ac:dyDescent="0.25">
      <c r="AG68" s="115"/>
      <c r="AH68" s="115"/>
      <c r="AI68" s="115"/>
      <c r="AJ68" s="115"/>
      <c r="AK68" s="115"/>
      <c r="AL68" s="115"/>
      <c r="AM68" s="115"/>
      <c r="AN68" s="115"/>
      <c r="AO68" s="115"/>
      <c r="AP68" s="115"/>
      <c r="AQ68" s="115"/>
      <c r="AR68" s="115"/>
      <c r="AS68" s="409"/>
      <c r="AT68" s="115"/>
      <c r="CA68" s="571"/>
      <c r="CB68" s="437" t="str">
        <f>Planning!C65</f>
        <v>Benefit</v>
      </c>
      <c r="CC68" s="481">
        <f>Planning!D65</f>
        <v>505504798.16174793</v>
      </c>
      <c r="CD68" s="481">
        <f>Planning!E65</f>
        <v>464540750.19041163</v>
      </c>
      <c r="CE68" s="481">
        <f>Planning!I65</f>
        <v>970045548.3521595</v>
      </c>
    </row>
    <row r="69" spans="33:83" x14ac:dyDescent="0.25">
      <c r="AG69" s="115"/>
      <c r="AH69" s="115"/>
      <c r="AI69" s="115"/>
      <c r="AJ69" s="115"/>
      <c r="AK69" s="115"/>
      <c r="AL69" s="115"/>
      <c r="AM69" s="115"/>
      <c r="AN69" s="115"/>
      <c r="AO69" s="115"/>
      <c r="AP69" s="115"/>
      <c r="AQ69" s="115"/>
      <c r="AR69" s="115"/>
      <c r="AS69" s="409"/>
      <c r="AT69" s="115"/>
    </row>
    <row r="73" spans="33:83" x14ac:dyDescent="0.25">
      <c r="CE73" s="480"/>
    </row>
    <row r="74" spans="33:83" x14ac:dyDescent="0.25">
      <c r="AY74" s="289"/>
    </row>
    <row r="75" spans="33:83" s="3" customFormat="1" ht="55.5" customHeight="1" x14ac:dyDescent="0.25">
      <c r="AY75" s="301"/>
    </row>
    <row r="76" spans="33:83" x14ac:dyDescent="0.25">
      <c r="AY76" s="290"/>
    </row>
    <row r="77" spans="33:83" x14ac:dyDescent="0.25">
      <c r="AY77" s="290"/>
    </row>
    <row r="78" spans="33:83" x14ac:dyDescent="0.25">
      <c r="AY78" s="392"/>
    </row>
    <row r="79" spans="33:83" x14ac:dyDescent="0.25">
      <c r="AY79" s="198"/>
    </row>
    <row r="80" spans="33:83" s="3" customFormat="1" x14ac:dyDescent="0.25"/>
    <row r="81" spans="46:74" s="3" customFormat="1" x14ac:dyDescent="0.25"/>
    <row r="82" spans="46:74" s="3" customFormat="1" ht="54" customHeight="1" x14ac:dyDescent="0.25"/>
    <row r="83" spans="46:74" x14ac:dyDescent="0.25">
      <c r="AT83" s="356"/>
      <c r="AU83" s="356"/>
      <c r="AV83" s="356"/>
      <c r="AW83" s="356"/>
      <c r="AX83" s="356"/>
      <c r="AY83" s="3"/>
      <c r="AZ83" s="303"/>
    </row>
    <row r="84" spans="46:74" x14ac:dyDescent="0.25">
      <c r="BG84" s="391"/>
      <c r="BH84" s="391"/>
      <c r="BI84" s="391"/>
      <c r="BJ84" s="391"/>
      <c r="BK84" s="391"/>
      <c r="BL84" s="391"/>
      <c r="BM84" s="391"/>
      <c r="BN84" s="391"/>
      <c r="BO84" s="391"/>
      <c r="BP84" s="391"/>
      <c r="BQ84" s="391"/>
      <c r="BR84" s="391"/>
      <c r="BS84" s="391"/>
      <c r="BT84" s="391"/>
      <c r="BU84" s="391"/>
      <c r="BV84" s="391"/>
    </row>
    <row r="85" spans="46:74" x14ac:dyDescent="0.25">
      <c r="BG85" s="391"/>
      <c r="BH85" s="391"/>
      <c r="BI85" s="391"/>
      <c r="BJ85" s="391"/>
      <c r="BK85" s="391"/>
      <c r="BL85" s="391"/>
      <c r="BM85" s="391"/>
      <c r="BN85" s="391"/>
      <c r="BO85" s="391"/>
      <c r="BP85" s="391"/>
      <c r="BQ85" s="391"/>
      <c r="BR85" s="391"/>
      <c r="BS85" s="391"/>
      <c r="BT85" s="391"/>
      <c r="BU85" s="391"/>
      <c r="BV85" s="391"/>
    </row>
    <row r="86" spans="46:74" x14ac:dyDescent="0.25">
      <c r="BG86" s="391"/>
      <c r="BH86" s="391"/>
      <c r="BI86" s="391"/>
      <c r="BJ86" s="391"/>
      <c r="BK86" s="391"/>
      <c r="BL86" s="391"/>
      <c r="BM86" s="391"/>
      <c r="BN86" s="391"/>
      <c r="BO86" s="391"/>
      <c r="BP86" s="391"/>
      <c r="BQ86" s="391"/>
      <c r="BR86" s="391"/>
      <c r="BS86" s="391"/>
      <c r="BT86" s="391"/>
      <c r="BU86" s="391"/>
      <c r="BV86" s="391"/>
    </row>
    <row r="87" spans="46:74" x14ac:dyDescent="0.25">
      <c r="BG87" s="391"/>
      <c r="BH87" s="391"/>
      <c r="BI87" s="391"/>
      <c r="BJ87" s="391"/>
      <c r="BK87" s="391"/>
      <c r="BL87" s="391"/>
      <c r="BM87" s="391"/>
      <c r="BN87" s="391"/>
      <c r="BO87" s="391"/>
      <c r="BP87" s="391"/>
      <c r="BQ87" s="391"/>
      <c r="BR87" s="391"/>
      <c r="BS87" s="391"/>
      <c r="BT87" s="391"/>
      <c r="BU87" s="391"/>
      <c r="BV87" s="391"/>
    </row>
    <row r="88" spans="46:74" x14ac:dyDescent="0.25">
      <c r="BG88" s="391"/>
      <c r="BH88" s="391"/>
      <c r="BI88" s="391"/>
      <c r="BJ88" s="391"/>
      <c r="BK88" s="391"/>
      <c r="BL88" s="391"/>
      <c r="BM88" s="391"/>
      <c r="BN88" s="391"/>
      <c r="BO88" s="391"/>
      <c r="BP88" s="391"/>
      <c r="BQ88" s="391"/>
      <c r="BR88" s="391"/>
      <c r="BS88" s="391"/>
      <c r="BT88" s="391"/>
      <c r="BU88" s="391"/>
      <c r="BV88" s="391"/>
    </row>
    <row r="89" spans="46:74" x14ac:dyDescent="0.25">
      <c r="BG89" s="391"/>
      <c r="BH89" s="391"/>
      <c r="BI89" s="391"/>
      <c r="BJ89" s="391"/>
      <c r="BK89" s="391"/>
      <c r="BL89" s="391"/>
      <c r="BM89" s="391"/>
      <c r="BN89" s="391"/>
      <c r="BO89" s="391"/>
      <c r="BP89" s="391"/>
      <c r="BQ89" s="391"/>
      <c r="BR89" s="391"/>
      <c r="BS89" s="391"/>
      <c r="BT89" s="391"/>
      <c r="BU89" s="391"/>
      <c r="BV89" s="391"/>
    </row>
    <row r="90" spans="46:74" x14ac:dyDescent="0.25">
      <c r="BG90" s="391"/>
      <c r="BH90" s="391"/>
      <c r="BI90" s="391"/>
      <c r="BJ90" s="391"/>
      <c r="BK90" s="391"/>
      <c r="BL90" s="391"/>
      <c r="BM90" s="391"/>
      <c r="BN90" s="391"/>
      <c r="BO90" s="391"/>
      <c r="BP90" s="391"/>
      <c r="BQ90" s="391"/>
      <c r="BR90" s="391"/>
      <c r="BS90" s="391"/>
      <c r="BT90" s="391"/>
      <c r="BU90" s="391"/>
      <c r="BV90" s="391"/>
    </row>
    <row r="91" spans="46:74" x14ac:dyDescent="0.25">
      <c r="BB91" s="391"/>
      <c r="BC91" s="391"/>
      <c r="BD91" s="391"/>
      <c r="BE91" s="391"/>
      <c r="BF91" s="391"/>
      <c r="BG91" s="391"/>
      <c r="BH91" s="391"/>
      <c r="BI91" s="391"/>
      <c r="BJ91" s="391"/>
      <c r="BK91" s="391"/>
      <c r="BL91" s="391"/>
      <c r="BM91" s="391"/>
      <c r="BN91" s="391"/>
      <c r="BO91" s="391"/>
      <c r="BP91" s="391"/>
      <c r="BQ91" s="391"/>
      <c r="BR91" s="391"/>
      <c r="BS91" s="391"/>
      <c r="BT91" s="391"/>
      <c r="BU91" s="391"/>
      <c r="BV91" s="391"/>
    </row>
    <row r="92" spans="46:74" x14ac:dyDescent="0.25">
      <c r="BB92" s="391"/>
      <c r="BC92" s="391"/>
      <c r="BD92" s="391"/>
      <c r="BE92" s="391"/>
      <c r="BF92" s="391"/>
      <c r="BG92" s="391"/>
      <c r="BH92" s="391"/>
      <c r="BI92" s="391"/>
      <c r="BJ92" s="391"/>
      <c r="BK92" s="391"/>
      <c r="BL92" s="391"/>
      <c r="BM92" s="391"/>
      <c r="BN92" s="391"/>
      <c r="BO92" s="391"/>
      <c r="BP92" s="391"/>
      <c r="BQ92" s="391"/>
      <c r="BR92" s="391"/>
      <c r="BS92" s="391"/>
      <c r="BT92" s="391"/>
      <c r="BU92" s="391"/>
      <c r="BV92" s="391"/>
    </row>
  </sheetData>
  <sheetProtection algorithmName="SHA-512" hashValue="PqfQaiSCRmatNnaE8yF8OqkaOFz98Moyzok5no+uqgnzJX7it9zJs+4fCiHIyPrxryZD9n3l2aaD+zZZWkBZXg==" saltValue="kLuK9mYOu5IZvyNgXbudfw==" spinCount="100000" sheet="1" objects="1" scenarios="1"/>
  <mergeCells count="16">
    <mergeCell ref="L34:O34"/>
    <mergeCell ref="AK29:AM29"/>
    <mergeCell ref="BS12:BU15"/>
    <mergeCell ref="AU12:AX14"/>
    <mergeCell ref="C12:F12"/>
    <mergeCell ref="BM4:BO4"/>
    <mergeCell ref="BC4:BF4"/>
    <mergeCell ref="AU4:AW4"/>
    <mergeCell ref="C11:F11"/>
    <mergeCell ref="V4:Z4"/>
    <mergeCell ref="AC4:AE4"/>
    <mergeCell ref="CC56:CE56"/>
    <mergeCell ref="CA64:CA65"/>
    <mergeCell ref="CA67:CA68"/>
    <mergeCell ref="BS44:BS45"/>
    <mergeCell ref="BS47:BS48"/>
  </mergeCells>
  <pageMargins left="0.7" right="0.7" top="0.75" bottom="0.75" header="0.3" footer="0.3"/>
  <pageSetup scale="1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Loss Summary Table</vt:lpstr>
      <vt:lpstr>Conversion from 2024$ to 2014$</vt:lpstr>
      <vt:lpstr>Planning</vt:lpstr>
      <vt:lpstr>Cost Allocation</vt:lpstr>
      <vt:lpstr>Tables for DFRTP</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LELAND</dc:creator>
  <cp:lastModifiedBy>Amy Wachsnicht</cp:lastModifiedBy>
  <cp:lastPrinted>2015-06-27T16:50:56Z</cp:lastPrinted>
  <dcterms:created xsi:type="dcterms:W3CDTF">2015-05-06T16:30:43Z</dcterms:created>
  <dcterms:modified xsi:type="dcterms:W3CDTF">2015-06-30T02:55:27Z</dcterms:modified>
  <cp:contentStatus/>
</cp:coreProperties>
</file>